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01Francisca Carrillo\"/>
    </mc:Choice>
  </mc:AlternateContent>
  <bookViews>
    <workbookView xWindow="240" yWindow="75" windowWidth="15480" windowHeight="7995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</sheets>
  <definedNames>
    <definedName name="_xlnm._FilterDatabase" localSheetId="0" hidden="1">'base de datos'!$A$1:$L$53</definedName>
  </definedNames>
  <calcPr calcId="152511"/>
  <pivotCaches>
    <pivotCache cacheId="31" r:id="rId7"/>
  </pivotCaches>
</workbook>
</file>

<file path=xl/calcChain.xml><?xml version="1.0" encoding="utf-8"?>
<calcChain xmlns="http://schemas.openxmlformats.org/spreadsheetml/2006/main">
  <c r="J30" i="1" l="1"/>
  <c r="H30" i="1"/>
  <c r="J39" i="1"/>
  <c r="H39" i="1"/>
  <c r="G22" i="7"/>
  <c r="J53" i="1"/>
  <c r="H53" i="1"/>
  <c r="J52" i="1"/>
  <c r="H52" i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5" i="7"/>
  <c r="G6" i="6"/>
  <c r="G7" i="6"/>
  <c r="G8" i="6"/>
  <c r="G9" i="6"/>
  <c r="G10" i="6"/>
  <c r="G5" i="6"/>
  <c r="J36" i="1"/>
  <c r="J34" i="1"/>
  <c r="J31" i="1"/>
  <c r="J22" i="1"/>
  <c r="J21" i="1"/>
  <c r="J2" i="1"/>
  <c r="J40" i="1"/>
  <c r="J38" i="1"/>
  <c r="J37" i="1"/>
  <c r="J35" i="1"/>
  <c r="J32" i="1"/>
  <c r="J29" i="1"/>
  <c r="J27" i="1"/>
  <c r="J24" i="1"/>
  <c r="J23" i="1"/>
  <c r="J20" i="1"/>
  <c r="J51" i="1"/>
  <c r="J28" i="1"/>
  <c r="J26" i="1"/>
  <c r="J25" i="1"/>
  <c r="J19" i="1"/>
  <c r="J17" i="1"/>
  <c r="J16" i="1"/>
  <c r="J15" i="1"/>
  <c r="J14" i="1"/>
  <c r="J12" i="1"/>
  <c r="J11" i="1"/>
  <c r="J10" i="1"/>
  <c r="J9" i="1"/>
  <c r="J8" i="1"/>
  <c r="J7" i="1"/>
  <c r="J4" i="1"/>
  <c r="J3" i="1"/>
  <c r="H25" i="1"/>
  <c r="H26" i="1"/>
  <c r="H27" i="1"/>
  <c r="H28" i="1"/>
  <c r="H29" i="1"/>
  <c r="H31" i="1"/>
  <c r="H32" i="1"/>
  <c r="H33" i="1"/>
  <c r="J33" i="1"/>
  <c r="H34" i="1"/>
  <c r="H35" i="1"/>
  <c r="H36" i="1"/>
  <c r="H37" i="1"/>
  <c r="H38" i="1"/>
  <c r="H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H3" i="1"/>
  <c r="O3" i="1"/>
  <c r="L3" i="1" s="1"/>
  <c r="H4" i="1"/>
  <c r="H5" i="1"/>
  <c r="J5" i="1"/>
  <c r="H6" i="1"/>
  <c r="J6" i="1"/>
  <c r="H7" i="1"/>
  <c r="H8" i="1"/>
  <c r="H9" i="1"/>
  <c r="H10" i="1"/>
  <c r="H11" i="1"/>
  <c r="H12" i="1"/>
  <c r="H13" i="1"/>
  <c r="J13" i="1"/>
  <c r="H14" i="1"/>
  <c r="H15" i="1"/>
  <c r="H16" i="1"/>
  <c r="H17" i="1"/>
  <c r="H18" i="1"/>
  <c r="J18" i="1"/>
  <c r="H19" i="1"/>
  <c r="H20" i="1"/>
  <c r="H21" i="1"/>
  <c r="H22" i="1"/>
  <c r="H23" i="1"/>
  <c r="H24" i="1"/>
  <c r="H2" i="1"/>
  <c r="F17" i="5"/>
  <c r="I17" i="5"/>
  <c r="E16" i="5"/>
  <c r="F16" i="4"/>
  <c r="F16" i="5"/>
  <c r="H17" i="5"/>
  <c r="G17" i="5"/>
  <c r="F17" i="4"/>
  <c r="G16" i="5"/>
  <c r="H16" i="5"/>
  <c r="E17" i="5"/>
  <c r="I16" i="5"/>
  <c r="L16" i="1" l="1"/>
  <c r="L20" i="1"/>
  <c r="K17" i="1"/>
  <c r="K21" i="1"/>
  <c r="I8" i="1"/>
  <c r="I24" i="1"/>
  <c r="L22" i="1"/>
  <c r="K13" i="1"/>
  <c r="I12" i="1"/>
  <c r="K5" i="1"/>
  <c r="I39" i="1"/>
  <c r="I53" i="1"/>
  <c r="K52" i="1"/>
  <c r="K53" i="1"/>
  <c r="L39" i="1"/>
  <c r="I30" i="1"/>
  <c r="K30" i="1"/>
  <c r="K19" i="1"/>
  <c r="L52" i="1"/>
  <c r="I52" i="1"/>
  <c r="L53" i="1"/>
  <c r="K39" i="1"/>
  <c r="L30" i="1"/>
  <c r="K4" i="1"/>
  <c r="K2" i="1"/>
  <c r="L24" i="1"/>
  <c r="I22" i="1"/>
  <c r="I20" i="1"/>
  <c r="I16" i="1"/>
  <c r="L12" i="1"/>
  <c r="K9" i="1"/>
  <c r="L8" i="1"/>
  <c r="K23" i="1"/>
  <c r="I2" i="1"/>
  <c r="K24" i="1"/>
  <c r="L23" i="1"/>
  <c r="I23" i="1"/>
  <c r="K22" i="1"/>
  <c r="L21" i="1"/>
  <c r="I21" i="1"/>
  <c r="K20" i="1"/>
  <c r="L19" i="1"/>
  <c r="I19" i="1"/>
  <c r="L18" i="1"/>
  <c r="I18" i="1"/>
  <c r="K15" i="1"/>
  <c r="L14" i="1"/>
  <c r="I14" i="1"/>
  <c r="K11" i="1"/>
  <c r="L10" i="1"/>
  <c r="I10" i="1"/>
  <c r="K7" i="1"/>
  <c r="L6" i="1"/>
  <c r="I6" i="1"/>
  <c r="I5" i="1"/>
  <c r="K51" i="1"/>
  <c r="I51" i="1"/>
  <c r="I49" i="1"/>
  <c r="I47" i="1"/>
  <c r="I44" i="1"/>
  <c r="I41" i="1"/>
  <c r="I38" i="1"/>
  <c r="I36" i="1"/>
  <c r="I34" i="1"/>
  <c r="I32" i="1"/>
  <c r="I29" i="1"/>
  <c r="I27" i="1"/>
  <c r="I25" i="1"/>
  <c r="K49" i="1"/>
  <c r="K47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29" i="1"/>
  <c r="K27" i="1"/>
  <c r="K25" i="1"/>
  <c r="L51" i="1"/>
  <c r="K50" i="1"/>
  <c r="I50" i="1"/>
  <c r="L49" i="1"/>
  <c r="K48" i="1"/>
  <c r="I48" i="1"/>
  <c r="L47" i="1"/>
  <c r="K46" i="1"/>
  <c r="I46" i="1"/>
  <c r="L45" i="1"/>
  <c r="L43" i="1"/>
  <c r="I42" i="1"/>
  <c r="L41" i="1"/>
  <c r="I40" i="1"/>
  <c r="L38" i="1"/>
  <c r="I37" i="1"/>
  <c r="L36" i="1"/>
  <c r="I35" i="1"/>
  <c r="L34" i="1"/>
  <c r="I33" i="1"/>
  <c r="L32" i="1"/>
  <c r="K31" i="1"/>
  <c r="I31" i="1"/>
  <c r="L29" i="1"/>
  <c r="K28" i="1"/>
  <c r="I28" i="1"/>
  <c r="L27" i="1"/>
  <c r="K26" i="1"/>
  <c r="I26" i="1"/>
  <c r="L25" i="1"/>
  <c r="L50" i="1"/>
  <c r="L48" i="1"/>
  <c r="L46" i="1"/>
  <c r="I45" i="1"/>
  <c r="L44" i="1"/>
  <c r="I43" i="1"/>
  <c r="L42" i="1"/>
  <c r="L40" i="1"/>
  <c r="L37" i="1"/>
  <c r="L35" i="1"/>
  <c r="L33" i="1"/>
  <c r="L31" i="1"/>
  <c r="L28" i="1"/>
  <c r="L26" i="1"/>
  <c r="K18" i="1"/>
  <c r="L17" i="1"/>
  <c r="I17" i="1"/>
  <c r="K16" i="1"/>
  <c r="L15" i="1"/>
  <c r="I15" i="1"/>
  <c r="K14" i="1"/>
  <c r="L13" i="1"/>
  <c r="I13" i="1"/>
  <c r="K12" i="1"/>
  <c r="L11" i="1"/>
  <c r="I11" i="1"/>
  <c r="K10" i="1"/>
  <c r="L9" i="1"/>
  <c r="I9" i="1"/>
  <c r="K8" i="1"/>
  <c r="L7" i="1"/>
  <c r="I7" i="1"/>
  <c r="K6" i="1"/>
  <c r="L5" i="1"/>
  <c r="L4" i="1"/>
  <c r="I4" i="1"/>
  <c r="I3" i="1"/>
  <c r="K3" i="1"/>
  <c r="L2" i="1"/>
  <c r="D17" i="5"/>
  <c r="D16" i="5"/>
  <c r="D15" i="5"/>
  <c r="F14" i="5"/>
  <c r="E14" i="5"/>
  <c r="G14" i="5"/>
  <c r="F15" i="5"/>
  <c r="I15" i="5"/>
  <c r="H15" i="5"/>
  <c r="I14" i="5"/>
  <c r="G15" i="5"/>
  <c r="H14" i="5"/>
  <c r="E15" i="5"/>
  <c r="J15" i="5" l="1"/>
  <c r="J16" i="5"/>
  <c r="J17" i="5"/>
  <c r="E17" i="4" l="1"/>
  <c r="E16" i="4"/>
  <c r="E15" i="4"/>
  <c r="E14" i="4"/>
  <c r="D17" i="4"/>
  <c r="D16" i="4"/>
  <c r="D15" i="4"/>
  <c r="D14" i="4"/>
  <c r="D14" i="5"/>
  <c r="K10" i="4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I18" i="5"/>
  <c r="F14" i="4"/>
  <c r="F18" i="5"/>
  <c r="G18" i="5"/>
  <c r="F15" i="4"/>
  <c r="H18" i="5"/>
  <c r="J18" i="5" l="1"/>
  <c r="D16" i="2"/>
  <c r="F7" i="2" s="1"/>
  <c r="F9" i="2" s="1"/>
  <c r="F10" i="2" s="1"/>
  <c r="F11" i="2" s="1"/>
  <c r="F18" i="4"/>
  <c r="G14" i="4" s="1"/>
  <c r="E18" i="5"/>
  <c r="J14" i="5"/>
  <c r="G18" i="4" l="1"/>
  <c r="G17" i="4"/>
  <c r="G15" i="4"/>
  <c r="G16" i="4"/>
  <c r="F8" i="2"/>
  <c r="F13" i="2"/>
  <c r="F12" i="2"/>
</calcChain>
</file>

<file path=xl/sharedStrings.xml><?xml version="1.0" encoding="utf-8"?>
<sst xmlns="http://schemas.openxmlformats.org/spreadsheetml/2006/main" count="270" uniqueCount="75">
  <si>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</si>
  <si>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</si>
  <si>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</si>
  <si>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</si>
  <si>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</si>
  <si>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</si>
  <si>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</si>
  <si>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</si>
  <si>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</si>
  <si>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</si>
  <si>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</si>
  <si>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</si>
  <si>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</si>
  <si>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</si>
  <si>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</si>
  <si>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</si>
  <si>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</si>
  <si>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</si>
  <si>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</si>
  <si>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</si>
  <si>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</si>
  <si>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</si>
  <si>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</si>
  <si>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</si>
  <si>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</si>
  <si>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</si>
  <si>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</si>
  <si>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</si>
  <si>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</si>
  <si>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</si>
  <si>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</si>
  <si>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</si>
  <si>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</si>
  <si>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</si>
  <si>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</si>
  <si>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</si>
  <si>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</si>
  <si>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</si>
  <si>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</si>
  <si>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</si>
  <si>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</si>
  <si>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</si>
  <si>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</si>
  <si>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</si>
  <si>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</si>
  <si>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</si>
  <si>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</si>
  <si>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</si>
  <si>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</si>
  <si>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</si>
  <si>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</si>
  <si>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</si>
  <si>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</si>
  <si>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Alnus sp.</t>
  </si>
  <si>
    <t>area</t>
  </si>
  <si>
    <t>ha.</t>
  </si>
  <si>
    <t>mts.</t>
  </si>
  <si>
    <t>Ciprés</t>
  </si>
  <si>
    <t>Cupresus lusitanica</t>
  </si>
  <si>
    <t>Chulube</t>
  </si>
  <si>
    <t>Pino triste</t>
  </si>
  <si>
    <t xml:space="preserve">Aliso </t>
  </si>
  <si>
    <t>30 - 39.9</t>
  </si>
  <si>
    <t>40 - 49.9</t>
  </si>
  <si>
    <t>de la parcela 1a la 3</t>
  </si>
  <si>
    <t>de la parcela 4 a la 8</t>
  </si>
  <si>
    <t>1.034 has</t>
  </si>
  <si>
    <t>0.779 has</t>
  </si>
  <si>
    <t>de la parcela 9 a la 10</t>
  </si>
  <si>
    <t>1.12 has</t>
  </si>
  <si>
    <t>Arbutus xalapensis</t>
  </si>
  <si>
    <t>Pinus pseudostrobus</t>
  </si>
  <si>
    <t>Rótulos de fila</t>
  </si>
  <si>
    <t>11 - 19.9</t>
  </si>
  <si>
    <t>Cupressus lusitanica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</si>
</sst>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0" fontId="0" fillId="3" borderId="0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7" fillId="9" borderId="2" xfId="0" applyFont="1" applyFill="1" applyBorder="1"/>
    <xf numFmtId="0" fontId="0" fillId="10" borderId="2" xfId="0" applyFill="1" applyBorder="1"/>
    <xf numFmtId="0" fontId="0" fillId="0" borderId="0" xfId="0" applyBorder="1"/>
    <xf numFmtId="0" fontId="2" fillId="5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2" fillId="0" borderId="0" xfId="0" applyFont="1" applyBorder="1"/>
    <xf numFmtId="0" fontId="0" fillId="11" borderId="0" xfId="0" applyFill="1" applyBorder="1"/>
    <xf numFmtId="0" fontId="0" fillId="11" borderId="0" xfId="0" applyFill="1"/>
    <xf numFmtId="0" fontId="7" fillId="11" borderId="2" xfId="0" applyFont="1" applyFill="1" applyBorder="1"/>
    <xf numFmtId="0" fontId="0" fillId="11" borderId="2" xfId="0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1" fontId="0" fillId="3" borderId="2" xfId="0" applyNumberFormat="1" applyFont="1" applyFill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0" fillId="5" borderId="3" xfId="0" applyNumberForma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/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65.516571759261" createdVersion="3" refreshedVersion="3" minRefreshableVersion="3" recordCount="52">
  <cacheSource type="worksheet">
    <worksheetSource ref="A1:L53" sheet="base de datos"/>
  </cacheSource>
  <cacheFields count="12">
    <cacheField name="Parcel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o. Arbol" numFmtId="0">
      <sharedItems containsSemiMixedTypes="0" containsString="0" containsNumber="1" containsInteger="1" minValue="1" maxValue="13"/>
    </cacheField>
    <cacheField name="Nombre común" numFmtId="0">
      <sharedItems count="4">
        <s v="Pino triste"/>
        <s v="Chulube"/>
        <s v="Aliso "/>
        <s v="Ciprés"/>
      </sharedItems>
    </cacheField>
    <cacheField name="Especie" numFmtId="0">
      <sharedItems count="4">
        <s v="Pinus pseudostrobus"/>
        <s v="Arbutus xalapensis"/>
        <s v="Alnus sp."/>
        <s v="Cupresus lusitanica"/>
      </sharedItems>
    </cacheField>
    <cacheField name="Clase diámetrica" numFmtId="0">
      <sharedItems count="5">
        <s v="40 - 49.9"/>
        <s v="20 - 29.9"/>
        <s v="10 - 19.9"/>
        <s v="30 - 39.9"/>
        <s v="11 - 19.9"/>
      </sharedItems>
    </cacheField>
    <cacheField name="DAP (cm)" numFmtId="0">
      <sharedItems containsSemiMixedTypes="0" containsString="0" containsNumber="1" minValue="10" maxValue="45"/>
    </cacheField>
    <cacheField name="Altura (m)" numFmtId="0">
      <sharedItems containsSemiMixedTypes="0" containsString="0" containsNumber="1" containsInteger="1" minValue="8" maxValue="20"/>
    </cacheField>
    <cacheField name="Area Basal (m2)" numFmtId="2">
      <sharedItems containsSemiMixedTypes="0" containsString="0" containsNumber="1" minValue="7.8540000000000016E-3" maxValue="0.1590435"/>
    </cacheField>
    <cacheField name="AB/Ha." numFmtId="2">
      <sharedItems containsSemiMixedTypes="0" containsString="0" containsNumber="1" minValue="3.1416000000000006E-2" maxValue="0.63617400000000002"/>
    </cacheField>
    <cacheField name="Volumen (m3)" numFmtId="2">
      <sharedItems containsSemiMixedTypes="0" containsString="0" containsNumber="1" minValue="6.23288382E-2" maxValue="1.1844578922"/>
    </cacheField>
    <cacheField name="Volumen/Ha." numFmtId="2">
      <sharedItems containsSemiMixedTypes="0" containsString="0" containsNumber="1" minValue="0.2493153528" maxValue="4.7378315687999999"/>
    </cacheField>
    <cacheField name="Densidad/Ha." numFmtId="2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n v="1"/>
    <x v="0"/>
    <x v="0"/>
    <x v="0"/>
    <n v="42"/>
    <n v="18"/>
    <n v="0.13854455999999998"/>
    <n v="0.55417823999999993"/>
    <n v="0.91335348719999998"/>
    <n v="3.6534139487999999"/>
    <n v="4"/>
  </r>
  <r>
    <x v="0"/>
    <n v="2"/>
    <x v="1"/>
    <x v="1"/>
    <x v="1"/>
    <n v="21"/>
    <n v="10"/>
    <n v="3.4636139999999996E-2"/>
    <n v="0.13854455999999998"/>
    <n v="0.31339785600000003"/>
    <n v="1.2535914240000001"/>
    <n v="4"/>
  </r>
  <r>
    <x v="0"/>
    <n v="3"/>
    <x v="1"/>
    <x v="1"/>
    <x v="2"/>
    <n v="17"/>
    <n v="10"/>
    <n v="2.2698060000000003E-2"/>
    <n v="9.079224000000001E-2"/>
    <n v="0.24271937599999999"/>
    <n v="0.97087750399999995"/>
    <n v="4"/>
  </r>
  <r>
    <x v="0"/>
    <n v="4"/>
    <x v="2"/>
    <x v="2"/>
    <x v="2"/>
    <n v="14"/>
    <n v="9"/>
    <n v="1.5393840000000002E-2"/>
    <n v="6.157536000000001E-2"/>
    <n v="0.19036150200000002"/>
    <n v="0.76144600800000006"/>
    <n v="4"/>
  </r>
  <r>
    <x v="0"/>
    <n v="5"/>
    <x v="2"/>
    <x v="2"/>
    <x v="1"/>
    <n v="21"/>
    <n v="10"/>
    <n v="3.4636139999999996E-2"/>
    <n v="0.13854455999999998"/>
    <n v="0.31339785600000003"/>
    <n v="1.2535914240000001"/>
    <n v="4"/>
  </r>
  <r>
    <x v="0"/>
    <n v="6"/>
    <x v="1"/>
    <x v="1"/>
    <x v="1"/>
    <n v="22"/>
    <n v="14"/>
    <n v="3.8013359999999996E-2"/>
    <n v="0.15205343999999998"/>
    <n v="0.42341449000000003"/>
    <n v="1.6936579600000001"/>
    <n v="4"/>
  </r>
  <r>
    <x v="0"/>
    <n v="7"/>
    <x v="1"/>
    <x v="1"/>
    <x v="2"/>
    <n v="15"/>
    <n v="14"/>
    <n v="1.76715E-2"/>
    <n v="7.0685999999999999E-2"/>
    <n v="0.254809116"/>
    <n v="1.019236464"/>
    <n v="4"/>
  </r>
  <r>
    <x v="0"/>
    <n v="8"/>
    <x v="1"/>
    <x v="1"/>
    <x v="1"/>
    <n v="20"/>
    <n v="15"/>
    <n v="3.1416000000000006E-2"/>
    <n v="0.12566400000000003"/>
    <n v="0.38733126600000001"/>
    <n v="1.549325064"/>
    <n v="4"/>
  </r>
  <r>
    <x v="0"/>
    <n v="9"/>
    <x v="1"/>
    <x v="1"/>
    <x v="3"/>
    <n v="30"/>
    <n v="18"/>
    <n v="7.0685999999999999E-2"/>
    <n v="0.282744"/>
    <n v="0.8616210660000001"/>
    <n v="3.4464842640000004"/>
    <n v="4"/>
  </r>
  <r>
    <x v="1"/>
    <n v="1"/>
    <x v="1"/>
    <x v="1"/>
    <x v="3"/>
    <n v="30"/>
    <n v="14"/>
    <n v="7.0685999999999999E-2"/>
    <n v="0.282744"/>
    <n v="0.6942246660000001"/>
    <n v="2.7768986640000004"/>
    <n v="4"/>
  </r>
  <r>
    <x v="1"/>
    <n v="2"/>
    <x v="1"/>
    <x v="1"/>
    <x v="2"/>
    <n v="16"/>
    <n v="11"/>
    <n v="2.0106240000000001E-2"/>
    <n v="8.0424960000000004E-2"/>
    <n v="0.23927845000000003"/>
    <n v="0.95711380000000013"/>
    <n v="4"/>
  </r>
  <r>
    <x v="1"/>
    <n v="3"/>
    <x v="2"/>
    <x v="2"/>
    <x v="2"/>
    <n v="13"/>
    <n v="10"/>
    <n v="1.3273260000000002E-2"/>
    <n v="5.3093040000000008E-2"/>
    <n v="0.186920576"/>
    <n v="0.74768230400000002"/>
    <n v="4"/>
  </r>
  <r>
    <x v="1"/>
    <n v="4"/>
    <x v="1"/>
    <x v="1"/>
    <x v="1"/>
    <n v="24"/>
    <n v="13"/>
    <n v="4.5239040000000001E-2"/>
    <n v="0.18095616"/>
    <n v="0.45652177799999999"/>
    <n v="1.826087112"/>
    <n v="4"/>
  </r>
  <r>
    <x v="1"/>
    <n v="5"/>
    <x v="1"/>
    <x v="1"/>
    <x v="1"/>
    <n v="24"/>
    <n v="14"/>
    <n v="4.5239040000000001E-2"/>
    <n v="0.18095616"/>
    <n v="0.48330520199999999"/>
    <n v="1.933220808"/>
    <n v="4"/>
  </r>
  <r>
    <x v="1"/>
    <n v="6"/>
    <x v="1"/>
    <x v="1"/>
    <x v="1"/>
    <n v="26"/>
    <n v="14"/>
    <n v="5.3093040000000008E-2"/>
    <n v="0.21237216000000003"/>
    <n v="0.54840380200000005"/>
    <n v="2.1936152080000002"/>
    <n v="4"/>
  </r>
  <r>
    <x v="1"/>
    <n v="7"/>
    <x v="1"/>
    <x v="1"/>
    <x v="1"/>
    <n v="20"/>
    <n v="15"/>
    <n v="3.1416000000000006E-2"/>
    <n v="0.12566400000000003"/>
    <n v="0.38733126600000001"/>
    <n v="1.549325064"/>
    <n v="4"/>
  </r>
  <r>
    <x v="1"/>
    <n v="8"/>
    <x v="2"/>
    <x v="2"/>
    <x v="1"/>
    <n v="23"/>
    <n v="15"/>
    <n v="4.154766E-2"/>
    <n v="0.16619064"/>
    <n v="0.47730683099999999"/>
    <n v="1.9092273239999999"/>
    <n v="4"/>
  </r>
  <r>
    <x v="1"/>
    <n v="9"/>
    <x v="1"/>
    <x v="1"/>
    <x v="1"/>
    <n v="24"/>
    <n v="8"/>
    <n v="4.5239040000000001E-2"/>
    <n v="0.18095616"/>
    <n v="0.32260465799999999"/>
    <n v="1.290418632"/>
    <n v="4"/>
  </r>
  <r>
    <x v="2"/>
    <n v="1"/>
    <x v="3"/>
    <x v="3"/>
    <x v="1"/>
    <n v="27"/>
    <n v="14"/>
    <n v="5.7255660000000007E-2"/>
    <n v="0.22902264000000003"/>
    <n v="0.3085553526"/>
    <n v="1.2342214104"/>
    <n v="4"/>
  </r>
  <r>
    <x v="2"/>
    <n v="2"/>
    <x v="0"/>
    <x v="0"/>
    <x v="2"/>
    <n v="17"/>
    <n v="13"/>
    <n v="2.2698060000000003E-2"/>
    <n v="9.079224000000001E-2"/>
    <n v="0.11255091319999999"/>
    <n v="0.45020365279999996"/>
    <n v="4"/>
  </r>
  <r>
    <x v="2"/>
    <n v="3"/>
    <x v="0"/>
    <x v="0"/>
    <x v="2"/>
    <n v="15"/>
    <n v="12"/>
    <n v="1.76715E-2"/>
    <n v="7.0685999999999999E-2"/>
    <n v="8.2315216799999993E-2"/>
    <n v="0.32926086719999997"/>
    <n v="4"/>
  </r>
  <r>
    <x v="2"/>
    <n v="4"/>
    <x v="3"/>
    <x v="3"/>
    <x v="2"/>
    <n v="16"/>
    <n v="13"/>
    <n v="2.0106240000000001E-2"/>
    <n v="8.0424960000000004E-2"/>
    <n v="0.10968898740000001"/>
    <n v="0.43875594960000003"/>
    <n v="4"/>
  </r>
  <r>
    <x v="2"/>
    <n v="5"/>
    <x v="3"/>
    <x v="3"/>
    <x v="1"/>
    <n v="22"/>
    <n v="13"/>
    <n v="3.8013359999999996E-2"/>
    <n v="0.15205343999999998"/>
    <n v="0.19538830500000001"/>
    <n v="0.78155322000000005"/>
    <n v="4"/>
  </r>
  <r>
    <x v="2"/>
    <n v="6"/>
    <x v="1"/>
    <x v="1"/>
    <x v="2"/>
    <n v="18"/>
    <n v="13"/>
    <n v="2.5446959999999998E-2"/>
    <n v="0.10178783999999999"/>
    <n v="0.30419105400000002"/>
    <n v="1.2167642160000001"/>
    <n v="4"/>
  </r>
  <r>
    <x v="2"/>
    <n v="7"/>
    <x v="1"/>
    <x v="1"/>
    <x v="2"/>
    <n v="19"/>
    <n v="12"/>
    <n v="2.835294E-2"/>
    <n v="0.11341176"/>
    <n v="0.309770934"/>
    <n v="1.239083736"/>
    <n v="4"/>
  </r>
  <r>
    <x v="2"/>
    <n v="8"/>
    <x v="3"/>
    <x v="3"/>
    <x v="2"/>
    <n v="19"/>
    <n v="13"/>
    <n v="2.835294E-2"/>
    <n v="0.11341176"/>
    <n v="0.14915577839999999"/>
    <n v="0.59662311359999998"/>
    <n v="4"/>
  </r>
  <r>
    <x v="2"/>
    <n v="9"/>
    <x v="1"/>
    <x v="1"/>
    <x v="2"/>
    <n v="14"/>
    <n v="10"/>
    <n v="1.5393840000000002E-2"/>
    <n v="6.157536000000001E-2"/>
    <n v="0.19947530600000002"/>
    <n v="0.79790122400000008"/>
    <n v="4"/>
  </r>
  <r>
    <x v="2"/>
    <n v="10"/>
    <x v="3"/>
    <x v="3"/>
    <x v="3"/>
    <n v="33"/>
    <n v="17"/>
    <n v="8.5530060000000005E-2"/>
    <n v="0.34212024000000002"/>
    <n v="0.54873896639999997"/>
    <n v="2.1949558655999999"/>
    <n v="4"/>
  </r>
  <r>
    <x v="2"/>
    <n v="11"/>
    <x v="3"/>
    <x v="3"/>
    <x v="1"/>
    <n v="20"/>
    <n v="14"/>
    <n v="3.1416000000000006E-2"/>
    <n v="0.12566400000000003"/>
    <n v="0.17538023220000001"/>
    <n v="0.70152092880000005"/>
    <n v="4"/>
  </r>
  <r>
    <x v="2"/>
    <n v="12"/>
    <x v="0"/>
    <x v="0"/>
    <x v="1"/>
    <n v="20"/>
    <n v="15"/>
    <n v="3.1416000000000006E-2"/>
    <n v="0.12566400000000003"/>
    <n v="0.17671237679999999"/>
    <n v="0.70684950719999995"/>
    <n v="4"/>
  </r>
  <r>
    <x v="3"/>
    <n v="1"/>
    <x v="3"/>
    <x v="3"/>
    <x v="0"/>
    <n v="45"/>
    <n v="20"/>
    <n v="0.1590435"/>
    <n v="0.63617400000000002"/>
    <n v="1.1844578922"/>
    <n v="4.7378315687999999"/>
    <n v="4"/>
  </r>
  <r>
    <x v="3"/>
    <n v="2"/>
    <x v="2"/>
    <x v="2"/>
    <x v="2"/>
    <n v="18"/>
    <n v="15"/>
    <n v="2.5446959999999998E-2"/>
    <n v="0.10178783999999999"/>
    <n v="0.33432240600000002"/>
    <n v="1.3372896240000001"/>
    <n v="4"/>
  </r>
  <r>
    <x v="3"/>
    <n v="3"/>
    <x v="0"/>
    <x v="0"/>
    <x v="2"/>
    <n v="16.100000000000001"/>
    <n v="12"/>
    <n v="2.0358353400000001E-2"/>
    <n v="8.1433413600000004E-2"/>
    <n v="9.4058223504000005E-2"/>
    <n v="0.37623289401600002"/>
    <n v="4"/>
  </r>
  <r>
    <x v="3"/>
    <n v="4"/>
    <x v="3"/>
    <x v="3"/>
    <x v="2"/>
    <n v="16"/>
    <n v="13"/>
    <n v="2.0106240000000001E-2"/>
    <n v="8.0424960000000004E-2"/>
    <n v="0.10968898740000001"/>
    <n v="0.43875594960000003"/>
    <n v="4"/>
  </r>
  <r>
    <x v="3"/>
    <n v="5"/>
    <x v="0"/>
    <x v="0"/>
    <x v="1"/>
    <n v="23.2"/>
    <n v="18"/>
    <n v="4.2273369599999992E-2"/>
    <n v="0.16909347839999997"/>
    <n v="0.28221750806399998"/>
    <n v="1.1288700322559999"/>
    <n v="4"/>
  </r>
  <r>
    <x v="3"/>
    <n v="6"/>
    <x v="3"/>
    <x v="3"/>
    <x v="3"/>
    <n v="36"/>
    <n v="18"/>
    <n v="0.10178783999999999"/>
    <n v="0.40715135999999996"/>
    <n v="0.6879569874"/>
    <n v="2.7518279496"/>
    <n v="4"/>
  </r>
  <r>
    <x v="3"/>
    <n v="7"/>
    <x v="3"/>
    <x v="3"/>
    <x v="1"/>
    <n v="29"/>
    <n v="17"/>
    <n v="6.6052139999999995E-2"/>
    <n v="0.26420855999999998"/>
    <n v="0.42684007199999996"/>
    <n v="1.7073602879999998"/>
    <n v="4"/>
  </r>
  <r>
    <x v="3"/>
    <n v="8"/>
    <x v="3"/>
    <x v="3"/>
    <x v="1"/>
    <n v="25"/>
    <n v="14"/>
    <n v="4.9087499999999999E-2"/>
    <n v="0.19635"/>
    <n v="0.26645744219999995"/>
    <n v="1.0658297687999998"/>
    <n v="4"/>
  </r>
  <r>
    <x v="3"/>
    <n v="9"/>
    <x v="3"/>
    <x v="3"/>
    <x v="2"/>
    <n v="14"/>
    <n v="16"/>
    <n v="1.5393840000000002E-2"/>
    <n v="6.157536000000001E-2"/>
    <n v="0.1041376146"/>
    <n v="0.41655045839999999"/>
    <n v="4"/>
  </r>
  <r>
    <x v="4"/>
    <n v="1"/>
    <x v="2"/>
    <x v="2"/>
    <x v="1"/>
    <n v="22"/>
    <n v="17"/>
    <n v="3.8013359999999996E-2"/>
    <n v="0.15205343999999998"/>
    <n v="0.49093103800000004"/>
    <n v="1.9637241520000002"/>
    <n v="4"/>
  </r>
  <r>
    <x v="4"/>
    <n v="2"/>
    <x v="2"/>
    <x v="2"/>
    <x v="1"/>
    <n v="22"/>
    <n v="15"/>
    <n v="3.8013359999999996E-2"/>
    <n v="0.15205343999999998"/>
    <n v="0.44592000600000004"/>
    <n v="1.7836800240000001"/>
    <n v="4"/>
  </r>
  <r>
    <x v="4"/>
    <n v="3"/>
    <x v="2"/>
    <x v="2"/>
    <x v="2"/>
    <n v="15"/>
    <n v="10"/>
    <n v="1.76715E-2"/>
    <n v="7.0685999999999999E-2"/>
    <n v="0.212960016"/>
    <n v="0.85184006400000001"/>
    <n v="4"/>
  </r>
  <r>
    <x v="4"/>
    <n v="4"/>
    <x v="2"/>
    <x v="2"/>
    <x v="2"/>
    <n v="13"/>
    <n v="10"/>
    <n v="1.3273260000000002E-2"/>
    <n v="5.3093040000000008E-2"/>
    <n v="6.23288382E-2"/>
    <n v="0.2493153528"/>
    <n v="4"/>
  </r>
  <r>
    <x v="4"/>
    <n v="5"/>
    <x v="2"/>
    <x v="2"/>
    <x v="2"/>
    <n v="10"/>
    <n v="10"/>
    <n v="7.8540000000000016E-3"/>
    <n v="3.1416000000000006E-2"/>
    <n v="0.154836266"/>
    <n v="0.619345064"/>
    <n v="4"/>
  </r>
  <r>
    <x v="4"/>
    <n v="6"/>
    <x v="2"/>
    <x v="2"/>
    <x v="2"/>
    <n v="14"/>
    <n v="10"/>
    <n v="1.5393840000000002E-2"/>
    <n v="6.157536000000001E-2"/>
    <n v="7.0135456200000001E-2"/>
    <n v="0.28054182480000001"/>
    <n v="4"/>
  </r>
  <r>
    <x v="4"/>
    <n v="7"/>
    <x v="2"/>
    <x v="2"/>
    <x v="2"/>
    <n v="15"/>
    <n v="10"/>
    <n v="1.76715E-2"/>
    <n v="7.0685999999999999E-2"/>
    <n v="6.9442876799999997E-2"/>
    <n v="0.27777150719999999"/>
    <n v="4"/>
  </r>
  <r>
    <x v="4"/>
    <n v="8"/>
    <x v="2"/>
    <x v="2"/>
    <x v="2"/>
    <n v="13"/>
    <n v="12"/>
    <n v="1.3273260000000002E-2"/>
    <n v="5.3093040000000008E-2"/>
    <n v="6.3092522400000003E-2"/>
    <n v="0.25237008960000001"/>
    <n v="4"/>
  </r>
  <r>
    <x v="4"/>
    <n v="9"/>
    <x v="2"/>
    <x v="2"/>
    <x v="2"/>
    <n v="19"/>
    <n v="10"/>
    <n v="2.835294E-2"/>
    <n v="0.11341176"/>
    <n v="0.1178425662"/>
    <n v="0.47137026479999999"/>
    <n v="4"/>
  </r>
  <r>
    <x v="4"/>
    <n v="10"/>
    <x v="2"/>
    <x v="2"/>
    <x v="2"/>
    <n v="14"/>
    <n v="10"/>
    <n v="1.5393840000000002E-2"/>
    <n v="6.157536000000001E-2"/>
    <n v="7.0135456200000001E-2"/>
    <n v="0.28054182480000001"/>
    <n v="4"/>
  </r>
  <r>
    <x v="4"/>
    <n v="11"/>
    <x v="1"/>
    <x v="1"/>
    <x v="2"/>
    <n v="12"/>
    <n v="10"/>
    <n v="1.130976E-2"/>
    <n v="4.5239040000000001E-2"/>
    <n v="0.17529582599999999"/>
    <n v="0.70118330399999995"/>
    <n v="4"/>
  </r>
  <r>
    <x v="4"/>
    <n v="12"/>
    <x v="1"/>
    <x v="1"/>
    <x v="4"/>
    <n v="13"/>
    <n v="11"/>
    <n v="1.3273260000000002E-2"/>
    <n v="5.3093040000000008E-2"/>
    <n v="0.194778907"/>
    <n v="0.779115628"/>
    <n v="4"/>
  </r>
  <r>
    <x v="4"/>
    <n v="13"/>
    <x v="0"/>
    <x v="0"/>
    <x v="1"/>
    <n v="22"/>
    <n v="18"/>
    <n v="3.8013359999999996E-2"/>
    <n v="0.15205343999999998"/>
    <n v="0.25428967919999995"/>
    <n v="1.017158716799999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2">
    <pivotField showAll="0"/>
    <pivotField dataField="1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12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0" firstHeaderRow="1" firstDataRow="2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22" firstHeaderRow="1" firstDataRow="2" firstDataCol="1"/>
  <pivotFields count="12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8">
    <i>
      <x/>
    </i>
    <i r="1">
      <x/>
    </i>
    <i r="1">
      <x v="1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78" zoomScaleNormal="78" workbookViewId="0">
      <selection activeCell="O5" sqref="O5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6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4" t="s">
        <v>54</v>
      </c>
    </row>
    <row r="2" spans="1:16" x14ac:dyDescent="0.25">
      <c r="A2" s="76">
        <v>1</v>
      </c>
      <c r="B2" s="76">
        <v>1</v>
      </c>
      <c r="C2" s="76" t="s">
        <v>60</v>
      </c>
      <c r="D2" s="81" t="s">
        <v>71</v>
      </c>
      <c r="E2" s="76" t="s">
        <v>63</v>
      </c>
      <c r="F2" s="77">
        <v>42</v>
      </c>
      <c r="G2" s="77">
        <v>18</v>
      </c>
      <c r="H2" s="78">
        <f>0.7854*(F2/100)^2</f>
        <v>0.13854455999999998</v>
      </c>
      <c r="I2" s="79">
        <f>H2*1/$O$3</f>
        <v>2.7708911999999994</v>
      </c>
      <c r="J2" s="78">
        <f>(0.0050811768+0.0000286052*(F2^2*G2))</f>
        <v>0.91335348719999998</v>
      </c>
      <c r="K2" s="79">
        <f>J2/$O$3</f>
        <v>18.267069743999997</v>
      </c>
      <c r="L2" s="79">
        <f>1*1/$O$3</f>
        <v>20</v>
      </c>
      <c r="M2" s="63"/>
      <c r="N2" s="64" t="s">
        <v>56</v>
      </c>
      <c r="O2" s="55" t="s">
        <v>55</v>
      </c>
    </row>
    <row r="3" spans="1:16" x14ac:dyDescent="0.25">
      <c r="A3" s="76">
        <v>1</v>
      </c>
      <c r="B3" s="76">
        <v>2</v>
      </c>
      <c r="C3" s="77" t="s">
        <v>59</v>
      </c>
      <c r="D3" s="82" t="s">
        <v>70</v>
      </c>
      <c r="E3" s="76" t="s">
        <v>52</v>
      </c>
      <c r="F3" s="77">
        <v>21</v>
      </c>
      <c r="G3" s="80">
        <v>10</v>
      </c>
      <c r="H3" s="78">
        <f>0.7854*(F3/100)^2</f>
        <v>3.4636139999999996E-2</v>
      </c>
      <c r="I3" s="79">
        <f t="shared" ref="I3:I21" si="0">H3*1/$O$3</f>
        <v>0.69272279999999986</v>
      </c>
      <c r="J3" s="78">
        <f>(0.108337266+0.000046499*(F3^2*G3))</f>
        <v>0.31339785600000003</v>
      </c>
      <c r="K3" s="79">
        <f t="shared" ref="K3:K24" si="1">J3/$O$3</f>
        <v>6.2679571200000002</v>
      </c>
      <c r="L3" s="79">
        <f t="shared" ref="L3:L24" si="2">1*1/$O$3</f>
        <v>20</v>
      </c>
      <c r="M3" s="63"/>
      <c r="N3" s="65">
        <v>500</v>
      </c>
      <c r="O3" s="56">
        <f>N3/10000</f>
        <v>0.05</v>
      </c>
    </row>
    <row r="4" spans="1:16" x14ac:dyDescent="0.25">
      <c r="A4" s="76">
        <v>1</v>
      </c>
      <c r="B4" s="76">
        <v>3</v>
      </c>
      <c r="C4" s="77" t="s">
        <v>59</v>
      </c>
      <c r="D4" s="82" t="s">
        <v>70</v>
      </c>
      <c r="E4" s="76" t="s">
        <v>51</v>
      </c>
      <c r="F4" s="77">
        <v>17</v>
      </c>
      <c r="G4" s="77">
        <v>10</v>
      </c>
      <c r="H4" s="78">
        <f t="shared" ref="H4:H21" si="3">0.7854*(F4/100)^2</f>
        <v>2.2698060000000003E-2</v>
      </c>
      <c r="I4" s="79">
        <f t="shared" si="0"/>
        <v>0.45396120000000001</v>
      </c>
      <c r="J4" s="78">
        <f>(0.108337266+0.000046499*(F4^2*G4))</f>
        <v>0.24271937599999999</v>
      </c>
      <c r="K4" s="79">
        <f t="shared" si="1"/>
        <v>4.8543875199999995</v>
      </c>
      <c r="L4" s="79">
        <f t="shared" si="2"/>
        <v>20</v>
      </c>
      <c r="M4" s="63"/>
      <c r="N4" s="63"/>
    </row>
    <row r="5" spans="1:16" x14ac:dyDescent="0.25">
      <c r="A5" s="76">
        <v>1</v>
      </c>
      <c r="B5" s="76">
        <v>4</v>
      </c>
      <c r="C5" s="77" t="s">
        <v>61</v>
      </c>
      <c r="D5" s="81" t="s">
        <v>53</v>
      </c>
      <c r="E5" s="76" t="s">
        <v>51</v>
      </c>
      <c r="F5" s="77">
        <v>14</v>
      </c>
      <c r="G5" s="77">
        <v>9</v>
      </c>
      <c r="H5" s="78">
        <f t="shared" si="3"/>
        <v>1.5393840000000002E-2</v>
      </c>
      <c r="I5" s="79">
        <f t="shared" si="0"/>
        <v>0.30787680000000001</v>
      </c>
      <c r="J5" s="78">
        <f t="shared" ref="J5:J12" si="4">(0.108337266+0.000046499*(F5^2*G5))</f>
        <v>0.19036150200000002</v>
      </c>
      <c r="K5" s="79">
        <f t="shared" si="1"/>
        <v>3.8072300400000003</v>
      </c>
      <c r="L5" s="79">
        <f t="shared" si="2"/>
        <v>20</v>
      </c>
      <c r="M5" s="62"/>
      <c r="N5" s="62"/>
    </row>
    <row r="6" spans="1:16" x14ac:dyDescent="0.25">
      <c r="A6" s="76">
        <v>1</v>
      </c>
      <c r="B6" s="76">
        <v>5</v>
      </c>
      <c r="C6" s="77" t="s">
        <v>61</v>
      </c>
      <c r="D6" s="81" t="s">
        <v>53</v>
      </c>
      <c r="E6" s="76" t="s">
        <v>52</v>
      </c>
      <c r="F6" s="77">
        <v>21</v>
      </c>
      <c r="G6" s="77">
        <v>10</v>
      </c>
      <c r="H6" s="78">
        <f t="shared" si="3"/>
        <v>3.4636139999999996E-2</v>
      </c>
      <c r="I6" s="79">
        <f t="shared" si="0"/>
        <v>0.69272279999999986</v>
      </c>
      <c r="J6" s="78">
        <f t="shared" si="4"/>
        <v>0.31339785600000003</v>
      </c>
      <c r="K6" s="79">
        <f t="shared" si="1"/>
        <v>6.2679571200000002</v>
      </c>
      <c r="L6" s="79">
        <f t="shared" si="2"/>
        <v>20</v>
      </c>
      <c r="M6" s="62"/>
      <c r="N6" s="62"/>
    </row>
    <row r="7" spans="1:16" x14ac:dyDescent="0.25">
      <c r="A7" s="76">
        <v>1</v>
      </c>
      <c r="B7" s="76">
        <v>6</v>
      </c>
      <c r="C7" s="77" t="s">
        <v>59</v>
      </c>
      <c r="D7" s="82" t="s">
        <v>70</v>
      </c>
      <c r="E7" s="76" t="s">
        <v>52</v>
      </c>
      <c r="F7" s="77">
        <v>22</v>
      </c>
      <c r="G7" s="77">
        <v>14</v>
      </c>
      <c r="H7" s="78">
        <f t="shared" si="3"/>
        <v>3.8013359999999996E-2</v>
      </c>
      <c r="I7" s="79">
        <f t="shared" si="0"/>
        <v>0.76026719999999992</v>
      </c>
      <c r="J7" s="78">
        <f t="shared" si="4"/>
        <v>0.42341449000000003</v>
      </c>
      <c r="K7" s="79">
        <f t="shared" si="1"/>
        <v>8.4682898000000009</v>
      </c>
      <c r="L7" s="79">
        <f t="shared" si="2"/>
        <v>20</v>
      </c>
      <c r="M7" s="62"/>
      <c r="N7" s="62"/>
    </row>
    <row r="8" spans="1:16" x14ac:dyDescent="0.25">
      <c r="A8" s="76">
        <v>1</v>
      </c>
      <c r="B8" s="76">
        <v>7</v>
      </c>
      <c r="C8" s="77" t="s">
        <v>59</v>
      </c>
      <c r="D8" s="82" t="s">
        <v>70</v>
      </c>
      <c r="E8" s="76" t="s">
        <v>51</v>
      </c>
      <c r="F8" s="77">
        <v>15</v>
      </c>
      <c r="G8" s="77">
        <v>14</v>
      </c>
      <c r="H8" s="78">
        <f t="shared" si="3"/>
        <v>1.76715E-2</v>
      </c>
      <c r="I8" s="79">
        <f t="shared" si="0"/>
        <v>0.35342999999999997</v>
      </c>
      <c r="J8" s="78">
        <f t="shared" si="4"/>
        <v>0.254809116</v>
      </c>
      <c r="K8" s="79">
        <f t="shared" si="1"/>
        <v>5.0961823199999996</v>
      </c>
      <c r="L8" s="79">
        <f t="shared" si="2"/>
        <v>20</v>
      </c>
      <c r="M8" s="62"/>
      <c r="N8" s="1" t="s">
        <v>64</v>
      </c>
      <c r="O8" s="1"/>
      <c r="P8" s="1" t="s">
        <v>67</v>
      </c>
    </row>
    <row r="9" spans="1:16" x14ac:dyDescent="0.25">
      <c r="A9" s="76">
        <v>1</v>
      </c>
      <c r="B9" s="76">
        <v>8</v>
      </c>
      <c r="C9" s="77" t="s">
        <v>59</v>
      </c>
      <c r="D9" s="82" t="s">
        <v>70</v>
      </c>
      <c r="E9" s="76" t="s">
        <v>52</v>
      </c>
      <c r="F9" s="77">
        <v>20</v>
      </c>
      <c r="G9" s="77">
        <v>15</v>
      </c>
      <c r="H9" s="78">
        <f t="shared" si="3"/>
        <v>3.1416000000000006E-2</v>
      </c>
      <c r="I9" s="79">
        <f t="shared" si="0"/>
        <v>0.6283200000000001</v>
      </c>
      <c r="J9" s="78">
        <f t="shared" si="4"/>
        <v>0.38733126600000001</v>
      </c>
      <c r="K9" s="79">
        <f t="shared" si="1"/>
        <v>7.7466253199999997</v>
      </c>
      <c r="L9" s="79">
        <f t="shared" si="2"/>
        <v>20</v>
      </c>
      <c r="M9" s="62"/>
      <c r="N9" s="1" t="s">
        <v>65</v>
      </c>
      <c r="P9" s="1" t="s">
        <v>66</v>
      </c>
    </row>
    <row r="10" spans="1:16" x14ac:dyDescent="0.25">
      <c r="A10" s="76">
        <v>1</v>
      </c>
      <c r="B10" s="76">
        <v>9</v>
      </c>
      <c r="C10" s="77" t="s">
        <v>59</v>
      </c>
      <c r="D10" s="82" t="s">
        <v>70</v>
      </c>
      <c r="E10" s="76" t="s">
        <v>62</v>
      </c>
      <c r="F10" s="77">
        <v>30</v>
      </c>
      <c r="G10" s="77">
        <v>18</v>
      </c>
      <c r="H10" s="78">
        <f t="shared" si="3"/>
        <v>7.0685999999999999E-2</v>
      </c>
      <c r="I10" s="79">
        <f t="shared" si="0"/>
        <v>1.4137199999999999</v>
      </c>
      <c r="J10" s="78">
        <f t="shared" si="4"/>
        <v>0.8616210660000001</v>
      </c>
      <c r="K10" s="79">
        <f t="shared" si="1"/>
        <v>17.23242132</v>
      </c>
      <c r="L10" s="79">
        <f t="shared" si="2"/>
        <v>20</v>
      </c>
      <c r="M10" s="63"/>
      <c r="N10" s="1" t="s">
        <v>68</v>
      </c>
      <c r="P10" s="1" t="s">
        <v>69</v>
      </c>
    </row>
    <row r="11" spans="1:16" x14ac:dyDescent="0.25">
      <c r="A11" s="76">
        <v>2</v>
      </c>
      <c r="B11" s="76">
        <v>1</v>
      </c>
      <c r="C11" s="77" t="s">
        <v>59</v>
      </c>
      <c r="D11" s="82" t="s">
        <v>70</v>
      </c>
      <c r="E11" s="76" t="s">
        <v>62</v>
      </c>
      <c r="F11" s="77">
        <v>30</v>
      </c>
      <c r="G11" s="77">
        <v>14</v>
      </c>
      <c r="H11" s="78">
        <f t="shared" si="3"/>
        <v>7.0685999999999999E-2</v>
      </c>
      <c r="I11" s="79">
        <f t="shared" si="0"/>
        <v>1.4137199999999999</v>
      </c>
      <c r="J11" s="78">
        <f t="shared" si="4"/>
        <v>0.6942246660000001</v>
      </c>
      <c r="K11" s="79">
        <f t="shared" si="1"/>
        <v>13.884493320000001</v>
      </c>
      <c r="L11" s="79">
        <f t="shared" si="2"/>
        <v>20</v>
      </c>
      <c r="M11" s="63"/>
      <c r="N11" s="63"/>
    </row>
    <row r="12" spans="1:16" x14ac:dyDescent="0.25">
      <c r="A12" s="76">
        <v>2</v>
      </c>
      <c r="B12" s="76">
        <v>2</v>
      </c>
      <c r="C12" s="77" t="s">
        <v>59</v>
      </c>
      <c r="D12" s="82" t="s">
        <v>70</v>
      </c>
      <c r="E12" s="76" t="s">
        <v>51</v>
      </c>
      <c r="F12" s="77">
        <v>16</v>
      </c>
      <c r="G12" s="77">
        <v>11</v>
      </c>
      <c r="H12" s="78">
        <f t="shared" si="3"/>
        <v>2.0106240000000001E-2</v>
      </c>
      <c r="I12" s="79">
        <f t="shared" si="0"/>
        <v>0.4021248</v>
      </c>
      <c r="J12" s="78">
        <f t="shared" si="4"/>
        <v>0.23927845000000003</v>
      </c>
      <c r="K12" s="79">
        <f t="shared" si="1"/>
        <v>4.7855690000000006</v>
      </c>
      <c r="L12" s="79">
        <f t="shared" si="2"/>
        <v>20</v>
      </c>
      <c r="M12" s="66"/>
      <c r="N12" s="66"/>
      <c r="O12" s="61"/>
    </row>
    <row r="13" spans="1:16" x14ac:dyDescent="0.25">
      <c r="A13" s="76">
        <v>2</v>
      </c>
      <c r="B13" s="76">
        <v>3</v>
      </c>
      <c r="C13" s="77" t="s">
        <v>61</v>
      </c>
      <c r="D13" s="81" t="s">
        <v>53</v>
      </c>
      <c r="E13" s="76" t="s">
        <v>51</v>
      </c>
      <c r="F13" s="77">
        <v>13</v>
      </c>
      <c r="G13" s="77">
        <v>10</v>
      </c>
      <c r="H13" s="78">
        <f t="shared" si="3"/>
        <v>1.3273260000000002E-2</v>
      </c>
      <c r="I13" s="79">
        <f t="shared" si="0"/>
        <v>0.26546520000000001</v>
      </c>
      <c r="J13" s="78">
        <f>(0.108337266+0.000046499*(F13^2*G13))</f>
        <v>0.186920576</v>
      </c>
      <c r="K13" s="79">
        <f t="shared" si="1"/>
        <v>3.7384115200000001</v>
      </c>
      <c r="L13" s="79">
        <f t="shared" si="2"/>
        <v>20</v>
      </c>
      <c r="M13" s="66"/>
      <c r="N13" s="66"/>
      <c r="O13" s="61"/>
    </row>
    <row r="14" spans="1:16" x14ac:dyDescent="0.25">
      <c r="A14" s="76">
        <v>2</v>
      </c>
      <c r="B14" s="76">
        <v>4</v>
      </c>
      <c r="C14" s="77" t="s">
        <v>59</v>
      </c>
      <c r="D14" s="82" t="s">
        <v>70</v>
      </c>
      <c r="E14" s="76" t="s">
        <v>52</v>
      </c>
      <c r="F14" s="77">
        <v>24</v>
      </c>
      <c r="G14" s="77">
        <v>13</v>
      </c>
      <c r="H14" s="78">
        <f t="shared" ref="H14:H16" si="5">0.7854*(F14/100)^2</f>
        <v>4.5239040000000001E-2</v>
      </c>
      <c r="I14" s="79">
        <f t="shared" ref="I14:I16" si="6">H14*1/$O$3</f>
        <v>0.90478079999999994</v>
      </c>
      <c r="J14" s="78">
        <f t="shared" ref="J14:J17" si="7">(0.108337266+0.000046499*(F14^2*G14))</f>
        <v>0.45652177799999999</v>
      </c>
      <c r="K14" s="79">
        <f t="shared" si="1"/>
        <v>9.1304355599999987</v>
      </c>
      <c r="L14" s="79">
        <f t="shared" si="2"/>
        <v>20</v>
      </c>
      <c r="M14" s="66"/>
      <c r="N14" s="67"/>
      <c r="O14" s="61"/>
    </row>
    <row r="15" spans="1:16" x14ac:dyDescent="0.25">
      <c r="A15" s="76">
        <v>2</v>
      </c>
      <c r="B15" s="76">
        <v>5</v>
      </c>
      <c r="C15" s="77" t="s">
        <v>59</v>
      </c>
      <c r="D15" s="82" t="s">
        <v>70</v>
      </c>
      <c r="E15" s="76" t="s">
        <v>52</v>
      </c>
      <c r="F15" s="77">
        <v>24</v>
      </c>
      <c r="G15" s="77">
        <v>14</v>
      </c>
      <c r="H15" s="78">
        <f t="shared" si="5"/>
        <v>4.5239040000000001E-2</v>
      </c>
      <c r="I15" s="79">
        <f t="shared" si="6"/>
        <v>0.90478079999999994</v>
      </c>
      <c r="J15" s="78">
        <f t="shared" si="7"/>
        <v>0.48330520199999999</v>
      </c>
      <c r="K15" s="79">
        <f t="shared" si="1"/>
        <v>9.6661040399999987</v>
      </c>
      <c r="L15" s="79">
        <f t="shared" si="2"/>
        <v>20</v>
      </c>
      <c r="M15" s="62"/>
      <c r="N15" s="66"/>
      <c r="O15" s="61"/>
    </row>
    <row r="16" spans="1:16" x14ac:dyDescent="0.25">
      <c r="A16" s="76">
        <v>2</v>
      </c>
      <c r="B16" s="76">
        <v>6</v>
      </c>
      <c r="C16" s="77" t="s">
        <v>59</v>
      </c>
      <c r="D16" s="82" t="s">
        <v>70</v>
      </c>
      <c r="E16" s="76" t="s">
        <v>52</v>
      </c>
      <c r="F16" s="77">
        <v>26</v>
      </c>
      <c r="G16" s="77">
        <v>14</v>
      </c>
      <c r="H16" s="78">
        <f t="shared" si="5"/>
        <v>5.3093040000000008E-2</v>
      </c>
      <c r="I16" s="79">
        <f t="shared" si="6"/>
        <v>1.0618608</v>
      </c>
      <c r="J16" s="78">
        <f t="shared" si="7"/>
        <v>0.54840380200000005</v>
      </c>
      <c r="K16" s="79">
        <f t="shared" si="1"/>
        <v>10.96807604</v>
      </c>
      <c r="L16" s="79">
        <f t="shared" si="2"/>
        <v>20</v>
      </c>
      <c r="M16" s="62"/>
      <c r="N16" s="67"/>
      <c r="O16" s="61"/>
    </row>
    <row r="17" spans="1:15" x14ac:dyDescent="0.25">
      <c r="A17" s="76">
        <v>2</v>
      </c>
      <c r="B17" s="76">
        <v>7</v>
      </c>
      <c r="C17" s="77" t="s">
        <v>59</v>
      </c>
      <c r="D17" s="82" t="s">
        <v>70</v>
      </c>
      <c r="E17" s="76" t="s">
        <v>52</v>
      </c>
      <c r="F17" s="77">
        <v>20</v>
      </c>
      <c r="G17" s="77">
        <v>15</v>
      </c>
      <c r="H17" s="78">
        <f t="shared" si="3"/>
        <v>3.1416000000000006E-2</v>
      </c>
      <c r="I17" s="79">
        <f t="shared" si="0"/>
        <v>0.6283200000000001</v>
      </c>
      <c r="J17" s="78">
        <f t="shared" si="7"/>
        <v>0.38733126600000001</v>
      </c>
      <c r="K17" s="79">
        <f t="shared" si="1"/>
        <v>7.7466253199999997</v>
      </c>
      <c r="L17" s="79">
        <f t="shared" si="2"/>
        <v>20</v>
      </c>
      <c r="M17" s="62"/>
      <c r="N17" s="67"/>
      <c r="O17" s="61"/>
    </row>
    <row r="18" spans="1:15" x14ac:dyDescent="0.25">
      <c r="A18" s="76">
        <v>2</v>
      </c>
      <c r="B18" s="76">
        <v>8</v>
      </c>
      <c r="C18" s="77" t="s">
        <v>61</v>
      </c>
      <c r="D18" s="81" t="s">
        <v>53</v>
      </c>
      <c r="E18" s="76" t="s">
        <v>52</v>
      </c>
      <c r="F18" s="77">
        <v>23</v>
      </c>
      <c r="G18" s="77">
        <v>15</v>
      </c>
      <c r="H18" s="78">
        <f t="shared" si="3"/>
        <v>4.154766E-2</v>
      </c>
      <c r="I18" s="79">
        <f t="shared" si="0"/>
        <v>0.83095319999999995</v>
      </c>
      <c r="J18" s="78">
        <f t="shared" ref="J18" si="8">(0.108337266+0.000046499*(F18^2*G18))</f>
        <v>0.47730683099999999</v>
      </c>
      <c r="K18" s="79">
        <f t="shared" si="1"/>
        <v>9.5461366199999986</v>
      </c>
      <c r="L18" s="79">
        <f t="shared" si="2"/>
        <v>20</v>
      </c>
      <c r="M18" s="62"/>
      <c r="N18" s="67"/>
      <c r="O18" s="61"/>
    </row>
    <row r="19" spans="1:15" x14ac:dyDescent="0.25">
      <c r="A19" s="76">
        <v>2</v>
      </c>
      <c r="B19" s="76">
        <v>9</v>
      </c>
      <c r="C19" s="77" t="s">
        <v>59</v>
      </c>
      <c r="D19" s="82" t="s">
        <v>70</v>
      </c>
      <c r="E19" s="76" t="s">
        <v>52</v>
      </c>
      <c r="F19" s="77">
        <v>24</v>
      </c>
      <c r="G19" s="77">
        <v>8</v>
      </c>
      <c r="H19" s="78">
        <f t="shared" si="3"/>
        <v>4.5239040000000001E-2</v>
      </c>
      <c r="I19" s="79">
        <f t="shared" si="0"/>
        <v>0.90478079999999994</v>
      </c>
      <c r="J19" s="78">
        <f>(0.108337266+0.000046499*(F19^2*G19))</f>
        <v>0.32260465799999999</v>
      </c>
      <c r="K19" s="79">
        <f t="shared" si="1"/>
        <v>6.4520931599999995</v>
      </c>
      <c r="L19" s="79">
        <f t="shared" si="2"/>
        <v>20</v>
      </c>
      <c r="M19" s="62"/>
      <c r="N19" s="62"/>
      <c r="O19" s="57"/>
    </row>
    <row r="20" spans="1:15" x14ac:dyDescent="0.25">
      <c r="A20" s="76">
        <v>3</v>
      </c>
      <c r="B20" s="76">
        <v>1</v>
      </c>
      <c r="C20" s="77" t="s">
        <v>57</v>
      </c>
      <c r="D20" s="84" t="s">
        <v>74</v>
      </c>
      <c r="E20" s="76" t="s">
        <v>52</v>
      </c>
      <c r="F20" s="77">
        <v>27</v>
      </c>
      <c r="G20" s="77">
        <v>14</v>
      </c>
      <c r="H20" s="78">
        <f t="shared" ref="H20" si="9">0.7854*(F20/100)^2</f>
        <v>5.7255660000000007E-2</v>
      </c>
      <c r="I20" s="79">
        <f t="shared" ref="I20" si="10">H20*1/$O$3</f>
        <v>1.1451132000000002</v>
      </c>
      <c r="J20" s="78">
        <f>(0.0134651922+0.0000289134*(F20^2*G20))</f>
        <v>0.3085553526</v>
      </c>
      <c r="K20" s="79">
        <f t="shared" si="1"/>
        <v>6.171107052</v>
      </c>
      <c r="L20" s="79">
        <f t="shared" si="2"/>
        <v>20</v>
      </c>
      <c r="M20" s="62"/>
      <c r="N20" s="62"/>
      <c r="O20" s="57"/>
    </row>
    <row r="21" spans="1:15" x14ac:dyDescent="0.25">
      <c r="A21" s="76">
        <v>3</v>
      </c>
      <c r="B21" s="76">
        <v>2</v>
      </c>
      <c r="C21" s="76" t="s">
        <v>60</v>
      </c>
      <c r="D21" s="81" t="s">
        <v>71</v>
      </c>
      <c r="E21" s="76" t="s">
        <v>51</v>
      </c>
      <c r="F21" s="77">
        <v>17</v>
      </c>
      <c r="G21" s="77">
        <v>13</v>
      </c>
      <c r="H21" s="78">
        <f t="shared" si="3"/>
        <v>2.2698060000000003E-2</v>
      </c>
      <c r="I21" s="79">
        <f t="shared" si="0"/>
        <v>0.45396120000000001</v>
      </c>
      <c r="J21" s="78">
        <f t="shared" ref="J21:J22" si="11">(0.0050811768+0.0000286052*(F21^2*G21))</f>
        <v>0.11255091319999999</v>
      </c>
      <c r="K21" s="79">
        <f t="shared" si="1"/>
        <v>2.2510182639999998</v>
      </c>
      <c r="L21" s="79">
        <f t="shared" si="2"/>
        <v>20</v>
      </c>
      <c r="M21" s="62"/>
      <c r="N21" s="62"/>
      <c r="O21" s="57"/>
    </row>
    <row r="22" spans="1:15" x14ac:dyDescent="0.25">
      <c r="A22" s="76">
        <v>3</v>
      </c>
      <c r="B22" s="76">
        <v>3</v>
      </c>
      <c r="C22" s="76" t="s">
        <v>60</v>
      </c>
      <c r="D22" s="81" t="s">
        <v>71</v>
      </c>
      <c r="E22" s="76" t="s">
        <v>51</v>
      </c>
      <c r="F22" s="77">
        <v>15</v>
      </c>
      <c r="G22" s="77">
        <v>12</v>
      </c>
      <c r="H22" s="78">
        <f t="shared" ref="H22:H25" si="12">0.7854*(F22/100)^2</f>
        <v>1.76715E-2</v>
      </c>
      <c r="I22" s="79">
        <f t="shared" ref="I22:I24" si="13">H22*1/$O$3</f>
        <v>0.35342999999999997</v>
      </c>
      <c r="J22" s="78">
        <f t="shared" si="11"/>
        <v>8.2315216799999993E-2</v>
      </c>
      <c r="K22" s="79">
        <f t="shared" ref="K22" si="14">J22/$O$3</f>
        <v>1.6463043359999998</v>
      </c>
      <c r="L22" s="79">
        <f t="shared" si="2"/>
        <v>20</v>
      </c>
      <c r="M22" s="63"/>
      <c r="N22" s="63"/>
    </row>
    <row r="23" spans="1:15" x14ac:dyDescent="0.25">
      <c r="A23" s="76">
        <v>3</v>
      </c>
      <c r="B23" s="76">
        <v>4</v>
      </c>
      <c r="C23" s="77" t="s">
        <v>57</v>
      </c>
      <c r="D23" s="84" t="s">
        <v>74</v>
      </c>
      <c r="E23" s="76" t="s">
        <v>51</v>
      </c>
      <c r="F23" s="77">
        <v>16</v>
      </c>
      <c r="G23" s="77">
        <v>13</v>
      </c>
      <c r="H23" s="78">
        <f t="shared" si="12"/>
        <v>2.0106240000000001E-2</v>
      </c>
      <c r="I23" s="79">
        <f t="shared" si="13"/>
        <v>0.4021248</v>
      </c>
      <c r="J23" s="78">
        <f t="shared" ref="J23:J24" si="15">(0.0134651922+0.0000289134*(F23^2*G23))</f>
        <v>0.10968898740000001</v>
      </c>
      <c r="K23" s="79">
        <f t="shared" si="1"/>
        <v>2.1937797479999999</v>
      </c>
      <c r="L23" s="79">
        <f t="shared" si="2"/>
        <v>20</v>
      </c>
      <c r="M23" s="63"/>
      <c r="N23" s="63"/>
    </row>
    <row r="24" spans="1:15" x14ac:dyDescent="0.25">
      <c r="A24" s="76">
        <v>3</v>
      </c>
      <c r="B24" s="76">
        <v>5</v>
      </c>
      <c r="C24" s="77" t="s">
        <v>57</v>
      </c>
      <c r="D24" s="84" t="s">
        <v>74</v>
      </c>
      <c r="E24" s="76" t="s">
        <v>52</v>
      </c>
      <c r="F24" s="77">
        <v>22</v>
      </c>
      <c r="G24" s="77">
        <v>13</v>
      </c>
      <c r="H24" s="78">
        <f t="shared" si="12"/>
        <v>3.8013359999999996E-2</v>
      </c>
      <c r="I24" s="79">
        <f t="shared" si="13"/>
        <v>0.76026719999999992</v>
      </c>
      <c r="J24" s="78">
        <f t="shared" si="15"/>
        <v>0.19538830500000001</v>
      </c>
      <c r="K24" s="79">
        <f t="shared" si="1"/>
        <v>3.9077660999999999</v>
      </c>
      <c r="L24" s="79">
        <f t="shared" si="2"/>
        <v>20</v>
      </c>
      <c r="M24" s="63"/>
      <c r="N24" s="63"/>
    </row>
    <row r="25" spans="1:15" x14ac:dyDescent="0.25">
      <c r="A25" s="76">
        <v>3</v>
      </c>
      <c r="B25" s="76">
        <v>6</v>
      </c>
      <c r="C25" s="77" t="s">
        <v>59</v>
      </c>
      <c r="D25" s="82" t="s">
        <v>70</v>
      </c>
      <c r="E25" s="76" t="s">
        <v>51</v>
      </c>
      <c r="F25" s="77">
        <v>18</v>
      </c>
      <c r="G25" s="77">
        <v>13</v>
      </c>
      <c r="H25" s="78">
        <f t="shared" si="12"/>
        <v>2.5446959999999998E-2</v>
      </c>
      <c r="I25" s="79">
        <f t="shared" ref="I25:I53" si="16">H25*1/$O$3</f>
        <v>0.50893919999999992</v>
      </c>
      <c r="J25" s="78">
        <f t="shared" ref="J25:J26" si="17">(0.108337266+0.000046499*(F25^2*G25))</f>
        <v>0.30419105400000002</v>
      </c>
      <c r="K25" s="79">
        <f t="shared" ref="K25:K53" si="18">J25/$O$3</f>
        <v>6.0838210799999999</v>
      </c>
      <c r="L25" s="79">
        <f t="shared" ref="L25:L53" si="19">1*1/$O$3</f>
        <v>20</v>
      </c>
    </row>
    <row r="26" spans="1:15" x14ac:dyDescent="0.25">
      <c r="A26" s="76">
        <v>3</v>
      </c>
      <c r="B26" s="76">
        <v>7</v>
      </c>
      <c r="C26" s="77" t="s">
        <v>59</v>
      </c>
      <c r="D26" s="82" t="s">
        <v>70</v>
      </c>
      <c r="E26" s="76" t="s">
        <v>51</v>
      </c>
      <c r="F26" s="77">
        <v>19</v>
      </c>
      <c r="G26" s="77">
        <v>12</v>
      </c>
      <c r="H26" s="78">
        <f t="shared" ref="H26:H27" si="20">0.7854*(F26/100)^2</f>
        <v>2.835294E-2</v>
      </c>
      <c r="I26" s="79">
        <f t="shared" si="16"/>
        <v>0.56705879999999997</v>
      </c>
      <c r="J26" s="78">
        <f t="shared" si="17"/>
        <v>0.309770934</v>
      </c>
      <c r="K26" s="79">
        <f t="shared" si="18"/>
        <v>6.1954186799999995</v>
      </c>
      <c r="L26" s="79">
        <f t="shared" si="19"/>
        <v>20</v>
      </c>
    </row>
    <row r="27" spans="1:15" x14ac:dyDescent="0.25">
      <c r="A27" s="76">
        <v>3</v>
      </c>
      <c r="B27" s="76">
        <v>8</v>
      </c>
      <c r="C27" s="77" t="s">
        <v>57</v>
      </c>
      <c r="D27" s="84" t="s">
        <v>74</v>
      </c>
      <c r="E27" s="76" t="s">
        <v>51</v>
      </c>
      <c r="F27" s="77">
        <v>19</v>
      </c>
      <c r="G27" s="77">
        <v>13</v>
      </c>
      <c r="H27" s="78">
        <f t="shared" si="20"/>
        <v>2.835294E-2</v>
      </c>
      <c r="I27" s="79">
        <f t="shared" si="16"/>
        <v>0.56705879999999997</v>
      </c>
      <c r="J27" s="78">
        <f>(0.0134651922+0.0000289134*(F27^2*G27))</f>
        <v>0.14915577839999999</v>
      </c>
      <c r="K27" s="79">
        <f t="shared" si="18"/>
        <v>2.9831155679999997</v>
      </c>
      <c r="L27" s="79">
        <f t="shared" si="19"/>
        <v>20</v>
      </c>
    </row>
    <row r="28" spans="1:15" x14ac:dyDescent="0.25">
      <c r="A28" s="76">
        <v>3</v>
      </c>
      <c r="B28" s="76">
        <v>9</v>
      </c>
      <c r="C28" s="77" t="s">
        <v>59</v>
      </c>
      <c r="D28" s="82" t="s">
        <v>70</v>
      </c>
      <c r="E28" s="76" t="s">
        <v>51</v>
      </c>
      <c r="F28" s="77">
        <v>14</v>
      </c>
      <c r="G28" s="77">
        <v>10</v>
      </c>
      <c r="H28" s="78">
        <f t="shared" ref="H28:H34" si="21">0.7854*(F28/100)^2</f>
        <v>1.5393840000000002E-2</v>
      </c>
      <c r="I28" s="79">
        <f t="shared" si="16"/>
        <v>0.30787680000000001</v>
      </c>
      <c r="J28" s="78">
        <f>(0.108337266+0.000046499*(F28^2*G28))</f>
        <v>0.19947530600000002</v>
      </c>
      <c r="K28" s="79">
        <f t="shared" si="18"/>
        <v>3.9895061200000002</v>
      </c>
      <c r="L28" s="79">
        <f t="shared" si="19"/>
        <v>20</v>
      </c>
    </row>
    <row r="29" spans="1:15" x14ac:dyDescent="0.25">
      <c r="A29" s="76">
        <v>3</v>
      </c>
      <c r="B29" s="76">
        <v>10</v>
      </c>
      <c r="C29" s="77" t="s">
        <v>57</v>
      </c>
      <c r="D29" s="84" t="s">
        <v>74</v>
      </c>
      <c r="E29" s="76" t="s">
        <v>62</v>
      </c>
      <c r="F29" s="77">
        <v>33</v>
      </c>
      <c r="G29" s="77">
        <v>17</v>
      </c>
      <c r="H29" s="78">
        <f t="shared" si="21"/>
        <v>8.5530060000000005E-2</v>
      </c>
      <c r="I29" s="79">
        <f t="shared" si="16"/>
        <v>1.7106011999999999</v>
      </c>
      <c r="J29" s="78">
        <f>(0.0134651922+0.0000289134*(F29^2*G29))</f>
        <v>0.54873896639999997</v>
      </c>
      <c r="K29" s="79">
        <f t="shared" si="18"/>
        <v>10.974779327999999</v>
      </c>
      <c r="L29" s="79">
        <f t="shared" si="19"/>
        <v>20</v>
      </c>
    </row>
    <row r="30" spans="1:15" s="1" customFormat="1" x14ac:dyDescent="0.25">
      <c r="A30" s="76">
        <v>3</v>
      </c>
      <c r="B30" s="76">
        <v>11</v>
      </c>
      <c r="C30" s="77" t="s">
        <v>57</v>
      </c>
      <c r="D30" s="84" t="s">
        <v>74</v>
      </c>
      <c r="E30" s="76" t="s">
        <v>52</v>
      </c>
      <c r="F30" s="77">
        <v>20</v>
      </c>
      <c r="G30" s="77">
        <v>14</v>
      </c>
      <c r="H30" s="78">
        <f t="shared" si="21"/>
        <v>3.1416000000000006E-2</v>
      </c>
      <c r="I30" s="79">
        <f t="shared" si="16"/>
        <v>0.6283200000000001</v>
      </c>
      <c r="J30" s="78">
        <f>(0.0134651922+0.0000289134*(F30^2*G30))</f>
        <v>0.17538023220000001</v>
      </c>
      <c r="K30" s="79">
        <f t="shared" si="18"/>
        <v>3.5076046440000002</v>
      </c>
      <c r="L30" s="79">
        <f t="shared" si="19"/>
        <v>20</v>
      </c>
    </row>
    <row r="31" spans="1:15" x14ac:dyDescent="0.25">
      <c r="A31" s="76">
        <v>3</v>
      </c>
      <c r="B31" s="76">
        <v>12</v>
      </c>
      <c r="C31" s="76" t="s">
        <v>60</v>
      </c>
      <c r="D31" s="81" t="s">
        <v>71</v>
      </c>
      <c r="E31" s="76" t="s">
        <v>52</v>
      </c>
      <c r="F31" s="77">
        <v>20</v>
      </c>
      <c r="G31" s="77">
        <v>15</v>
      </c>
      <c r="H31" s="78">
        <f t="shared" si="21"/>
        <v>3.1416000000000006E-2</v>
      </c>
      <c r="I31" s="79">
        <f t="shared" si="16"/>
        <v>0.6283200000000001</v>
      </c>
      <c r="J31" s="78">
        <f>(0.0050811768+0.0000286052*(F31^2*G31))</f>
        <v>0.17671237679999999</v>
      </c>
      <c r="K31" s="79">
        <f t="shared" si="18"/>
        <v>3.5342475359999996</v>
      </c>
      <c r="L31" s="79">
        <f t="shared" si="19"/>
        <v>20</v>
      </c>
    </row>
    <row r="32" spans="1:15" x14ac:dyDescent="0.25">
      <c r="A32" s="76">
        <v>4</v>
      </c>
      <c r="B32" s="76">
        <v>1</v>
      </c>
      <c r="C32" s="77" t="s">
        <v>57</v>
      </c>
      <c r="D32" s="84" t="s">
        <v>74</v>
      </c>
      <c r="E32" s="76" t="s">
        <v>63</v>
      </c>
      <c r="F32" s="77">
        <v>45</v>
      </c>
      <c r="G32" s="77">
        <v>20</v>
      </c>
      <c r="H32" s="78">
        <f t="shared" si="21"/>
        <v>0.1590435</v>
      </c>
      <c r="I32" s="79">
        <f t="shared" si="16"/>
        <v>3.1808700000000001</v>
      </c>
      <c r="J32" s="78">
        <f>(0.0134651922+0.0000289134*(F32^2*G32))</f>
        <v>1.1844578922</v>
      </c>
      <c r="K32" s="79">
        <f t="shared" si="18"/>
        <v>23.689157843999997</v>
      </c>
      <c r="L32" s="79">
        <f t="shared" si="19"/>
        <v>20</v>
      </c>
    </row>
    <row r="33" spans="1:12" x14ac:dyDescent="0.25">
      <c r="A33" s="76">
        <v>4</v>
      </c>
      <c r="B33" s="76">
        <v>2</v>
      </c>
      <c r="C33" s="77" t="s">
        <v>61</v>
      </c>
      <c r="D33" s="81" t="s">
        <v>53</v>
      </c>
      <c r="E33" s="76" t="s">
        <v>51</v>
      </c>
      <c r="F33" s="77">
        <v>18</v>
      </c>
      <c r="G33" s="77">
        <v>15</v>
      </c>
      <c r="H33" s="78">
        <f t="shared" si="21"/>
        <v>2.5446959999999998E-2</v>
      </c>
      <c r="I33" s="79">
        <f t="shared" si="16"/>
        <v>0.50893919999999992</v>
      </c>
      <c r="J33" s="78">
        <f t="shared" ref="J33" si="22">(0.108337266+0.000046499*(F33^2*G33))</f>
        <v>0.33432240600000002</v>
      </c>
      <c r="K33" s="79">
        <f t="shared" si="18"/>
        <v>6.6864481199999997</v>
      </c>
      <c r="L33" s="79">
        <f t="shared" si="19"/>
        <v>20</v>
      </c>
    </row>
    <row r="34" spans="1:12" x14ac:dyDescent="0.25">
      <c r="A34" s="76">
        <v>4</v>
      </c>
      <c r="B34" s="76">
        <v>3</v>
      </c>
      <c r="C34" s="76" t="s">
        <v>60</v>
      </c>
      <c r="D34" s="81" t="s">
        <v>71</v>
      </c>
      <c r="E34" s="76" t="s">
        <v>51</v>
      </c>
      <c r="F34" s="77">
        <v>16.100000000000001</v>
      </c>
      <c r="G34" s="77">
        <v>12</v>
      </c>
      <c r="H34" s="78">
        <f t="shared" si="21"/>
        <v>2.0358353400000001E-2</v>
      </c>
      <c r="I34" s="79">
        <f t="shared" si="16"/>
        <v>0.40716706800000002</v>
      </c>
      <c r="J34" s="78">
        <f>(0.0050811768+0.0000286052*(F34^2*G34))</f>
        <v>9.4058223504000005E-2</v>
      </c>
      <c r="K34" s="79">
        <f t="shared" si="18"/>
        <v>1.8811644700800001</v>
      </c>
      <c r="L34" s="79">
        <f t="shared" si="19"/>
        <v>20</v>
      </c>
    </row>
    <row r="35" spans="1:12" x14ac:dyDescent="0.25">
      <c r="A35" s="76">
        <v>4</v>
      </c>
      <c r="B35" s="76">
        <v>4</v>
      </c>
      <c r="C35" s="77" t="s">
        <v>57</v>
      </c>
      <c r="D35" s="84" t="s">
        <v>74</v>
      </c>
      <c r="E35" s="76" t="s">
        <v>51</v>
      </c>
      <c r="F35" s="77">
        <v>16</v>
      </c>
      <c r="G35" s="77">
        <v>13</v>
      </c>
      <c r="H35" s="78">
        <f t="shared" ref="H35:H36" si="23">0.7854*(F35/100)^2</f>
        <v>2.0106240000000001E-2</v>
      </c>
      <c r="I35" s="79">
        <f t="shared" si="16"/>
        <v>0.4021248</v>
      </c>
      <c r="J35" s="78">
        <f>(0.0134651922+0.0000289134*(F35^2*G35))</f>
        <v>0.10968898740000001</v>
      </c>
      <c r="K35" s="79">
        <f t="shared" si="18"/>
        <v>2.1937797479999999</v>
      </c>
      <c r="L35" s="79">
        <f t="shared" si="19"/>
        <v>20</v>
      </c>
    </row>
    <row r="36" spans="1:12" x14ac:dyDescent="0.25">
      <c r="A36" s="76">
        <v>4</v>
      </c>
      <c r="B36" s="76">
        <v>5</v>
      </c>
      <c r="C36" s="76" t="s">
        <v>60</v>
      </c>
      <c r="D36" s="81" t="s">
        <v>71</v>
      </c>
      <c r="E36" s="76" t="s">
        <v>52</v>
      </c>
      <c r="F36" s="77">
        <v>23.2</v>
      </c>
      <c r="G36" s="77">
        <v>18</v>
      </c>
      <c r="H36" s="78">
        <f t="shared" si="23"/>
        <v>4.2273369599999992E-2</v>
      </c>
      <c r="I36" s="79">
        <f t="shared" si="16"/>
        <v>0.84546739199999976</v>
      </c>
      <c r="J36" s="78">
        <f>(0.0050811768+0.0000286052*(F36^2*G36))</f>
        <v>0.28221750806399998</v>
      </c>
      <c r="K36" s="79">
        <f t="shared" si="18"/>
        <v>5.6443501612799993</v>
      </c>
      <c r="L36" s="79">
        <f t="shared" si="19"/>
        <v>20</v>
      </c>
    </row>
    <row r="37" spans="1:12" x14ac:dyDescent="0.25">
      <c r="A37" s="76">
        <v>4</v>
      </c>
      <c r="B37" s="76">
        <v>6</v>
      </c>
      <c r="C37" s="77" t="s">
        <v>57</v>
      </c>
      <c r="D37" s="84" t="s">
        <v>74</v>
      </c>
      <c r="E37" s="76" t="s">
        <v>62</v>
      </c>
      <c r="F37" s="77">
        <v>36</v>
      </c>
      <c r="G37" s="77">
        <v>18</v>
      </c>
      <c r="H37" s="78">
        <f t="shared" ref="H37:H42" si="24">0.7854*(F37/100)^2</f>
        <v>0.10178783999999999</v>
      </c>
      <c r="I37" s="79">
        <f t="shared" si="16"/>
        <v>2.0357567999999997</v>
      </c>
      <c r="J37" s="78">
        <f t="shared" ref="J37:J40" si="25">(0.0134651922+0.0000289134*(F37^2*G37))</f>
        <v>0.6879569874</v>
      </c>
      <c r="K37" s="79">
        <f t="shared" si="18"/>
        <v>13.759139747999999</v>
      </c>
      <c r="L37" s="79">
        <f t="shared" si="19"/>
        <v>20</v>
      </c>
    </row>
    <row r="38" spans="1:12" x14ac:dyDescent="0.25">
      <c r="A38" s="76">
        <v>4</v>
      </c>
      <c r="B38" s="76">
        <v>7</v>
      </c>
      <c r="C38" s="77" t="s">
        <v>57</v>
      </c>
      <c r="D38" s="84" t="s">
        <v>74</v>
      </c>
      <c r="E38" s="76" t="s">
        <v>52</v>
      </c>
      <c r="F38" s="77">
        <v>29</v>
      </c>
      <c r="G38" s="77">
        <v>17</v>
      </c>
      <c r="H38" s="78">
        <f t="shared" si="24"/>
        <v>6.6052139999999995E-2</v>
      </c>
      <c r="I38" s="79">
        <f t="shared" si="16"/>
        <v>1.3210427999999999</v>
      </c>
      <c r="J38" s="78">
        <f t="shared" si="25"/>
        <v>0.42684007199999996</v>
      </c>
      <c r="K38" s="79">
        <f t="shared" si="18"/>
        <v>8.5368014399999979</v>
      </c>
      <c r="L38" s="79">
        <f t="shared" si="19"/>
        <v>20</v>
      </c>
    </row>
    <row r="39" spans="1:12" s="1" customFormat="1" x14ac:dyDescent="0.25">
      <c r="A39" s="76">
        <v>4</v>
      </c>
      <c r="B39" s="76">
        <v>8</v>
      </c>
      <c r="C39" s="77" t="s">
        <v>57</v>
      </c>
      <c r="D39" s="84" t="s">
        <v>74</v>
      </c>
      <c r="E39" s="76" t="s">
        <v>52</v>
      </c>
      <c r="F39" s="77">
        <v>25</v>
      </c>
      <c r="G39" s="77">
        <v>14</v>
      </c>
      <c r="H39" s="78">
        <f t="shared" si="24"/>
        <v>4.9087499999999999E-2</v>
      </c>
      <c r="I39" s="79">
        <f t="shared" si="16"/>
        <v>0.9817499999999999</v>
      </c>
      <c r="J39" s="78">
        <f t="shared" ref="J39" si="26">(0.0134651922+0.0000289134*(F39^2*G39))</f>
        <v>0.26645744219999995</v>
      </c>
      <c r="K39" s="79">
        <f t="shared" si="18"/>
        <v>5.3291488439999988</v>
      </c>
      <c r="L39" s="79">
        <f t="shared" si="19"/>
        <v>20</v>
      </c>
    </row>
    <row r="40" spans="1:12" x14ac:dyDescent="0.25">
      <c r="A40" s="76">
        <v>4</v>
      </c>
      <c r="B40" s="76">
        <v>9</v>
      </c>
      <c r="C40" s="77" t="s">
        <v>57</v>
      </c>
      <c r="D40" s="84" t="s">
        <v>74</v>
      </c>
      <c r="E40" s="76" t="s">
        <v>51</v>
      </c>
      <c r="F40" s="77">
        <v>14</v>
      </c>
      <c r="G40" s="77">
        <v>16</v>
      </c>
      <c r="H40" s="78">
        <f t="shared" si="24"/>
        <v>1.5393840000000002E-2</v>
      </c>
      <c r="I40" s="79">
        <f t="shared" si="16"/>
        <v>0.30787680000000001</v>
      </c>
      <c r="J40" s="78">
        <f t="shared" si="25"/>
        <v>0.1041376146</v>
      </c>
      <c r="K40" s="79">
        <f t="shared" si="18"/>
        <v>2.0827522919999999</v>
      </c>
      <c r="L40" s="79">
        <f t="shared" si="19"/>
        <v>20</v>
      </c>
    </row>
    <row r="41" spans="1:12" x14ac:dyDescent="0.25">
      <c r="A41" s="76">
        <v>5</v>
      </c>
      <c r="B41" s="76">
        <v>1</v>
      </c>
      <c r="C41" s="77" t="s">
        <v>61</v>
      </c>
      <c r="D41" s="81" t="s">
        <v>53</v>
      </c>
      <c r="E41" s="76" t="s">
        <v>52</v>
      </c>
      <c r="F41" s="77">
        <v>22</v>
      </c>
      <c r="G41" s="77">
        <v>17</v>
      </c>
      <c r="H41" s="78">
        <f t="shared" si="24"/>
        <v>3.8013359999999996E-2</v>
      </c>
      <c r="I41" s="79">
        <f t="shared" si="16"/>
        <v>0.76026719999999992</v>
      </c>
      <c r="J41" s="78">
        <f t="shared" ref="J41:J42" si="27">(0.108337266+0.000046499*(F41^2*G41))</f>
        <v>0.49093103800000004</v>
      </c>
      <c r="K41" s="79">
        <f t="shared" si="18"/>
        <v>9.8186207599999999</v>
      </c>
      <c r="L41" s="79">
        <f t="shared" si="19"/>
        <v>20</v>
      </c>
    </row>
    <row r="42" spans="1:12" x14ac:dyDescent="0.25">
      <c r="A42" s="76">
        <v>5</v>
      </c>
      <c r="B42" s="76">
        <v>2</v>
      </c>
      <c r="C42" s="77" t="s">
        <v>61</v>
      </c>
      <c r="D42" s="81" t="s">
        <v>53</v>
      </c>
      <c r="E42" s="76" t="s">
        <v>52</v>
      </c>
      <c r="F42" s="77">
        <v>22</v>
      </c>
      <c r="G42" s="77">
        <v>15</v>
      </c>
      <c r="H42" s="78">
        <f t="shared" si="24"/>
        <v>3.8013359999999996E-2</v>
      </c>
      <c r="I42" s="79">
        <f t="shared" si="16"/>
        <v>0.76026719999999992</v>
      </c>
      <c r="J42" s="78">
        <f t="shared" si="27"/>
        <v>0.44592000600000004</v>
      </c>
      <c r="K42" s="79">
        <f t="shared" si="18"/>
        <v>8.9184001199999994</v>
      </c>
      <c r="L42" s="79">
        <f t="shared" si="19"/>
        <v>20</v>
      </c>
    </row>
    <row r="43" spans="1:12" x14ac:dyDescent="0.25">
      <c r="A43" s="76">
        <v>5</v>
      </c>
      <c r="B43" s="76">
        <v>3</v>
      </c>
      <c r="C43" s="77" t="s">
        <v>61</v>
      </c>
      <c r="D43" s="81" t="s">
        <v>53</v>
      </c>
      <c r="E43" s="76" t="s">
        <v>51</v>
      </c>
      <c r="F43" s="77">
        <v>15</v>
      </c>
      <c r="G43" s="77">
        <v>10</v>
      </c>
      <c r="H43" s="78">
        <f t="shared" ref="H43:H45" si="28">0.7854*(F43/100)^2</f>
        <v>1.76715E-2</v>
      </c>
      <c r="I43" s="79">
        <f t="shared" si="16"/>
        <v>0.35342999999999997</v>
      </c>
      <c r="J43" s="78">
        <f>(0.108337266+0.000046499*(F43^2*G43))</f>
        <v>0.212960016</v>
      </c>
      <c r="K43" s="79">
        <f t="shared" si="18"/>
        <v>4.2592003199999997</v>
      </c>
      <c r="L43" s="79">
        <f t="shared" si="19"/>
        <v>20</v>
      </c>
    </row>
    <row r="44" spans="1:12" x14ac:dyDescent="0.25">
      <c r="A44" s="76">
        <v>5</v>
      </c>
      <c r="B44" s="76">
        <v>4</v>
      </c>
      <c r="C44" s="77" t="s">
        <v>61</v>
      </c>
      <c r="D44" s="81" t="s">
        <v>53</v>
      </c>
      <c r="E44" s="76" t="s">
        <v>51</v>
      </c>
      <c r="F44" s="77">
        <v>13</v>
      </c>
      <c r="G44" s="77">
        <v>10</v>
      </c>
      <c r="H44" s="78">
        <f t="shared" si="28"/>
        <v>1.3273260000000002E-2</v>
      </c>
      <c r="I44" s="79">
        <f t="shared" si="16"/>
        <v>0.26546520000000001</v>
      </c>
      <c r="J44" s="78">
        <f>(0.0134651922+0.0000289134*(F44^2*G44))</f>
        <v>6.23288382E-2</v>
      </c>
      <c r="K44" s="79">
        <f t="shared" si="18"/>
        <v>1.2465767639999998</v>
      </c>
      <c r="L44" s="79">
        <f t="shared" si="19"/>
        <v>20</v>
      </c>
    </row>
    <row r="45" spans="1:12" x14ac:dyDescent="0.25">
      <c r="A45" s="76">
        <v>5</v>
      </c>
      <c r="B45" s="76">
        <v>5</v>
      </c>
      <c r="C45" s="77" t="s">
        <v>61</v>
      </c>
      <c r="D45" s="81" t="s">
        <v>53</v>
      </c>
      <c r="E45" s="76" t="s">
        <v>51</v>
      </c>
      <c r="F45" s="77">
        <v>10</v>
      </c>
      <c r="G45" s="77">
        <v>10</v>
      </c>
      <c r="H45" s="78">
        <f t="shared" si="28"/>
        <v>7.8540000000000016E-3</v>
      </c>
      <c r="I45" s="79">
        <f t="shared" si="16"/>
        <v>0.15708000000000003</v>
      </c>
      <c r="J45" s="78">
        <f t="shared" ref="J45" si="29">(0.108337266+0.000046499*(F45^2*G45))</f>
        <v>0.154836266</v>
      </c>
      <c r="K45" s="79">
        <f t="shared" si="18"/>
        <v>3.09672532</v>
      </c>
      <c r="L45" s="79">
        <f t="shared" si="19"/>
        <v>20</v>
      </c>
    </row>
    <row r="46" spans="1:12" x14ac:dyDescent="0.25">
      <c r="A46" s="76">
        <v>5</v>
      </c>
      <c r="B46" s="76">
        <v>6</v>
      </c>
      <c r="C46" s="77" t="s">
        <v>61</v>
      </c>
      <c r="D46" s="81" t="s">
        <v>53</v>
      </c>
      <c r="E46" s="76" t="s">
        <v>51</v>
      </c>
      <c r="F46" s="77">
        <v>14</v>
      </c>
      <c r="G46" s="77">
        <v>10</v>
      </c>
      <c r="H46" s="78">
        <f t="shared" ref="H46:H48" si="30">0.7854*(F46/100)^2</f>
        <v>1.5393840000000002E-2</v>
      </c>
      <c r="I46" s="79">
        <f t="shared" si="16"/>
        <v>0.30787680000000001</v>
      </c>
      <c r="J46" s="78">
        <f>(0.0134651922+0.0000289134*(F46^2*G46))</f>
        <v>7.0135456200000001E-2</v>
      </c>
      <c r="K46" s="79">
        <f t="shared" si="18"/>
        <v>1.402709124</v>
      </c>
      <c r="L46" s="79">
        <f t="shared" si="19"/>
        <v>20</v>
      </c>
    </row>
    <row r="47" spans="1:12" x14ac:dyDescent="0.25">
      <c r="A47" s="76">
        <v>5</v>
      </c>
      <c r="B47" s="76">
        <v>7</v>
      </c>
      <c r="C47" s="77" t="s">
        <v>61</v>
      </c>
      <c r="D47" s="81" t="s">
        <v>53</v>
      </c>
      <c r="E47" s="76" t="s">
        <v>51</v>
      </c>
      <c r="F47" s="77">
        <v>15</v>
      </c>
      <c r="G47" s="77">
        <v>10</v>
      </c>
      <c r="H47" s="78">
        <f t="shared" si="30"/>
        <v>1.76715E-2</v>
      </c>
      <c r="I47" s="79">
        <f t="shared" si="16"/>
        <v>0.35342999999999997</v>
      </c>
      <c r="J47" s="78">
        <f t="shared" ref="J47:J48" si="31">(0.0050811768+0.0000286052*(F47^2*G47))</f>
        <v>6.9442876799999997E-2</v>
      </c>
      <c r="K47" s="79">
        <f t="shared" si="18"/>
        <v>1.3888575359999999</v>
      </c>
      <c r="L47" s="79">
        <f t="shared" si="19"/>
        <v>20</v>
      </c>
    </row>
    <row r="48" spans="1:12" x14ac:dyDescent="0.25">
      <c r="A48" s="76">
        <v>5</v>
      </c>
      <c r="B48" s="76">
        <v>8</v>
      </c>
      <c r="C48" s="77" t="s">
        <v>61</v>
      </c>
      <c r="D48" s="81" t="s">
        <v>53</v>
      </c>
      <c r="E48" s="76" t="s">
        <v>51</v>
      </c>
      <c r="F48" s="77">
        <v>13</v>
      </c>
      <c r="G48" s="77">
        <v>12</v>
      </c>
      <c r="H48" s="78">
        <f t="shared" si="30"/>
        <v>1.3273260000000002E-2</v>
      </c>
      <c r="I48" s="79">
        <f t="shared" si="16"/>
        <v>0.26546520000000001</v>
      </c>
      <c r="J48" s="78">
        <f t="shared" si="31"/>
        <v>6.3092522400000003E-2</v>
      </c>
      <c r="K48" s="79">
        <f t="shared" si="18"/>
        <v>1.2618504479999999</v>
      </c>
      <c r="L48" s="79">
        <f t="shared" si="19"/>
        <v>20</v>
      </c>
    </row>
    <row r="49" spans="1:12" x14ac:dyDescent="0.25">
      <c r="A49" s="76">
        <v>5</v>
      </c>
      <c r="B49" s="76">
        <v>9</v>
      </c>
      <c r="C49" s="77" t="s">
        <v>61</v>
      </c>
      <c r="D49" s="81" t="s">
        <v>53</v>
      </c>
      <c r="E49" s="76" t="s">
        <v>51</v>
      </c>
      <c r="F49" s="77">
        <v>19</v>
      </c>
      <c r="G49" s="77">
        <v>10</v>
      </c>
      <c r="H49" s="78">
        <f t="shared" ref="H49:H51" si="32">0.7854*(F49/100)^2</f>
        <v>2.835294E-2</v>
      </c>
      <c r="I49" s="79">
        <f t="shared" si="16"/>
        <v>0.56705879999999997</v>
      </c>
      <c r="J49" s="78">
        <f t="shared" ref="J49:J50" si="33">(0.0134651922+0.0000289134*(F49^2*G49))</f>
        <v>0.1178425662</v>
      </c>
      <c r="K49" s="79">
        <f t="shared" si="18"/>
        <v>2.356851324</v>
      </c>
      <c r="L49" s="79">
        <f t="shared" si="19"/>
        <v>20</v>
      </c>
    </row>
    <row r="50" spans="1:12" x14ac:dyDescent="0.25">
      <c r="A50" s="76">
        <v>5</v>
      </c>
      <c r="B50" s="76">
        <v>10</v>
      </c>
      <c r="C50" s="77" t="s">
        <v>61</v>
      </c>
      <c r="D50" s="81" t="s">
        <v>53</v>
      </c>
      <c r="E50" s="76" t="s">
        <v>51</v>
      </c>
      <c r="F50" s="77">
        <v>14</v>
      </c>
      <c r="G50" s="77">
        <v>10</v>
      </c>
      <c r="H50" s="78">
        <f t="shared" si="32"/>
        <v>1.5393840000000002E-2</v>
      </c>
      <c r="I50" s="79">
        <f t="shared" si="16"/>
        <v>0.30787680000000001</v>
      </c>
      <c r="J50" s="78">
        <f t="shared" si="33"/>
        <v>7.0135456200000001E-2</v>
      </c>
      <c r="K50" s="79">
        <f t="shared" si="18"/>
        <v>1.402709124</v>
      </c>
      <c r="L50" s="79">
        <f t="shared" si="19"/>
        <v>20</v>
      </c>
    </row>
    <row r="51" spans="1:12" x14ac:dyDescent="0.25">
      <c r="A51" s="76">
        <v>5</v>
      </c>
      <c r="B51" s="76">
        <v>11</v>
      </c>
      <c r="C51" s="77" t="s">
        <v>59</v>
      </c>
      <c r="D51" s="82" t="s">
        <v>70</v>
      </c>
      <c r="E51" s="76" t="s">
        <v>51</v>
      </c>
      <c r="F51" s="77">
        <v>12</v>
      </c>
      <c r="G51" s="77">
        <v>10</v>
      </c>
      <c r="H51" s="78">
        <f t="shared" si="32"/>
        <v>1.130976E-2</v>
      </c>
      <c r="I51" s="79">
        <f t="shared" si="16"/>
        <v>0.22619519999999999</v>
      </c>
      <c r="J51" s="78">
        <f>(0.108337266+0.000046499*(F51^2*G51))</f>
        <v>0.17529582599999999</v>
      </c>
      <c r="K51" s="79">
        <f t="shared" si="18"/>
        <v>3.5059165199999995</v>
      </c>
      <c r="L51" s="79">
        <f t="shared" si="19"/>
        <v>20</v>
      </c>
    </row>
    <row r="52" spans="1:12" x14ac:dyDescent="0.25">
      <c r="A52" s="76">
        <v>5</v>
      </c>
      <c r="B52" s="76">
        <v>12</v>
      </c>
      <c r="C52" s="77" t="s">
        <v>59</v>
      </c>
      <c r="D52" s="82" t="s">
        <v>70</v>
      </c>
      <c r="E52" s="76" t="s">
        <v>73</v>
      </c>
      <c r="F52" s="77">
        <v>13</v>
      </c>
      <c r="G52" s="77">
        <v>11</v>
      </c>
      <c r="H52" s="78">
        <f t="shared" ref="H52" si="34">0.7854*(F52/100)^2</f>
        <v>1.3273260000000002E-2</v>
      </c>
      <c r="I52" s="79">
        <f t="shared" si="16"/>
        <v>0.26546520000000001</v>
      </c>
      <c r="J52" s="78">
        <f>(0.108337266+0.000046499*(F52^2*G52))</f>
        <v>0.194778907</v>
      </c>
      <c r="K52" s="79">
        <f t="shared" si="18"/>
        <v>3.89557814</v>
      </c>
      <c r="L52" s="79">
        <f t="shared" si="19"/>
        <v>20</v>
      </c>
    </row>
    <row r="53" spans="1:12" x14ac:dyDescent="0.25">
      <c r="A53" s="76">
        <v>5</v>
      </c>
      <c r="B53" s="76">
        <v>13</v>
      </c>
      <c r="C53" s="76" t="s">
        <v>60</v>
      </c>
      <c r="D53" s="81" t="s">
        <v>71</v>
      </c>
      <c r="E53" s="76" t="s">
        <v>52</v>
      </c>
      <c r="F53" s="77">
        <v>22</v>
      </c>
      <c r="G53" s="77">
        <v>18</v>
      </c>
      <c r="H53" s="78">
        <f t="shared" ref="H53" si="35">0.7854*(F53/100)^2</f>
        <v>3.8013359999999996E-2</v>
      </c>
      <c r="I53" s="79">
        <f t="shared" si="16"/>
        <v>0.76026719999999992</v>
      </c>
      <c r="J53" s="78">
        <f>(0.0050811768+0.0000286052*(F53^2*G53))</f>
        <v>0.25428967919999995</v>
      </c>
      <c r="K53" s="79">
        <f t="shared" si="18"/>
        <v>5.0857935839999984</v>
      </c>
      <c r="L53" s="79">
        <f t="shared" si="19"/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opLeftCell="A8" workbookViewId="0">
      <selection activeCell="F18" sqref="F18:G18"/>
    </sheetView>
  </sheetViews>
  <sheetFormatPr baseColWidth="10" defaultColWidth="11.42578125" defaultRowHeight="15" x14ac:dyDescent="0.25"/>
  <cols>
    <col min="1" max="1" width="21.425781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4" t="s">
        <v>72</v>
      </c>
      <c r="B3" t="s">
        <v>13</v>
      </c>
    </row>
    <row r="4" spans="1:11" x14ac:dyDescent="0.25">
      <c r="A4" s="5" t="s">
        <v>53</v>
      </c>
      <c r="B4" s="7">
        <v>15</v>
      </c>
    </row>
    <row r="5" spans="1:11" x14ac:dyDescent="0.25">
      <c r="A5" s="6" t="s">
        <v>61</v>
      </c>
      <c r="B5" s="7">
        <v>15</v>
      </c>
    </row>
    <row r="6" spans="1:11" x14ac:dyDescent="0.25">
      <c r="A6" s="5" t="s">
        <v>58</v>
      </c>
      <c r="B6" s="7">
        <v>12</v>
      </c>
    </row>
    <row r="7" spans="1:11" x14ac:dyDescent="0.25">
      <c r="A7" s="6" t="s">
        <v>57</v>
      </c>
      <c r="B7" s="7">
        <v>12</v>
      </c>
    </row>
    <row r="8" spans="1:11" x14ac:dyDescent="0.25">
      <c r="A8" s="5" t="s">
        <v>71</v>
      </c>
      <c r="B8" s="7">
        <v>7</v>
      </c>
    </row>
    <row r="9" spans="1:11" x14ac:dyDescent="0.25">
      <c r="A9" s="6" t="s">
        <v>60</v>
      </c>
      <c r="B9" s="7">
        <v>7</v>
      </c>
    </row>
    <row r="10" spans="1:11" x14ac:dyDescent="0.25">
      <c r="A10" s="5" t="s">
        <v>70</v>
      </c>
      <c r="B10" s="7">
        <v>18</v>
      </c>
      <c r="K10">
        <f>0.15*100/1.34</f>
        <v>11.194029850746269</v>
      </c>
    </row>
    <row r="11" spans="1:11" x14ac:dyDescent="0.25">
      <c r="A11" s="6" t="s">
        <v>59</v>
      </c>
      <c r="B11" s="7">
        <v>18</v>
      </c>
    </row>
    <row r="12" spans="1:11" x14ac:dyDescent="0.25">
      <c r="A12" s="5" t="s">
        <v>12</v>
      </c>
      <c r="B12" s="7">
        <v>52</v>
      </c>
    </row>
    <row r="13" spans="1:11" ht="30" customHeight="1" x14ac:dyDescent="0.25">
      <c r="C13" s="20" t="s">
        <v>20</v>
      </c>
      <c r="D13" s="21" t="s">
        <v>21</v>
      </c>
      <c r="E13" s="21" t="s">
        <v>22</v>
      </c>
      <c r="F13" s="21" t="s">
        <v>23</v>
      </c>
      <c r="G13" s="22" t="s">
        <v>24</v>
      </c>
    </row>
    <row r="14" spans="1:11" s="1" customFormat="1" ht="15" customHeight="1" x14ac:dyDescent="0.25">
      <c r="C14" s="68">
        <v>1</v>
      </c>
      <c r="D14" s="70" t="str">
        <f>A5</f>
        <v xml:space="preserve">Aliso </v>
      </c>
      <c r="E14" s="70" t="str">
        <f>A4</f>
        <v>Alnus sp.</v>
      </c>
      <c r="F14" s="69">
        <f>GETPIVOTDATA("No. Arbol",$A$3,"Especie","Alnus sp.")</f>
        <v>15</v>
      </c>
      <c r="G14" s="71">
        <f>F14/F18*100</f>
        <v>28.846153846153843</v>
      </c>
    </row>
    <row r="15" spans="1:11" s="1" customFormat="1" ht="15" customHeight="1" x14ac:dyDescent="0.25">
      <c r="C15" s="68">
        <v>2</v>
      </c>
      <c r="D15" s="70" t="str">
        <f>A7</f>
        <v>Ciprés</v>
      </c>
      <c r="E15" s="70" t="str">
        <f>A6</f>
        <v>Cupresus lusitanica</v>
      </c>
      <c r="F15" s="69">
        <f>GETPIVOTDATA("No. Arbol",$A$3,"Especie","Cupresus lusitanica")</f>
        <v>12</v>
      </c>
      <c r="G15" s="71">
        <f>F15/F18*100</f>
        <v>23.076923076923077</v>
      </c>
    </row>
    <row r="16" spans="1:11" x14ac:dyDescent="0.25">
      <c r="C16" s="9">
        <v>3</v>
      </c>
      <c r="D16" s="9" t="str">
        <f>A9</f>
        <v>Pino triste</v>
      </c>
      <c r="E16" s="10" t="str">
        <f>A8</f>
        <v>Pinus pseudostrobus</v>
      </c>
      <c r="F16" s="72">
        <f>GETPIVOTDATA("No. Arbol",$A$3,"Especie","Pinus pseudostrobus")</f>
        <v>7</v>
      </c>
      <c r="G16" s="71">
        <f>F16/F18*100</f>
        <v>13.461538461538462</v>
      </c>
    </row>
    <row r="17" spans="3:7" x14ac:dyDescent="0.25">
      <c r="C17" s="9">
        <v>4</v>
      </c>
      <c r="D17" s="9" t="str">
        <f>A11</f>
        <v>Chulube</v>
      </c>
      <c r="E17" s="10" t="str">
        <f>A10</f>
        <v>Arbutus xalapensis</v>
      </c>
      <c r="F17" s="72">
        <f>GETPIVOTDATA("No. Arbol",$A$3,"Especie","Arbutus xalapensis")</f>
        <v>18</v>
      </c>
      <c r="G17" s="11">
        <f>F17/F18*100</f>
        <v>34.615384615384613</v>
      </c>
    </row>
    <row r="18" spans="3:7" x14ac:dyDescent="0.25">
      <c r="C18" s="85" t="s">
        <v>25</v>
      </c>
      <c r="D18" s="85"/>
      <c r="E18" s="85"/>
      <c r="F18" s="58">
        <f>SUM(F14:F17)</f>
        <v>52</v>
      </c>
      <c r="G18" s="23">
        <f>F18/F18*100</f>
        <v>100</v>
      </c>
    </row>
  </sheetData>
  <mergeCells count="1">
    <mergeCell ref="C18:E18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B2" workbookViewId="0">
      <selection activeCell="D14" sqref="D14:J18"/>
    </sheetView>
  </sheetViews>
  <sheetFormatPr baseColWidth="10" defaultColWidth="11.42578125" defaultRowHeight="15" x14ac:dyDescent="0.25"/>
  <cols>
    <col min="1" max="1" width="19.5703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4" t="s">
        <v>15</v>
      </c>
    </row>
    <row r="4" spans="1:12" x14ac:dyDescent="0.25">
      <c r="A4" s="4" t="s">
        <v>72</v>
      </c>
      <c r="B4" s="1" t="s">
        <v>14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12" x14ac:dyDescent="0.25">
      <c r="A5" s="5" t="s">
        <v>53</v>
      </c>
      <c r="B5" s="8">
        <v>60</v>
      </c>
      <c r="C5" s="3">
        <v>16.399999999999999</v>
      </c>
      <c r="D5" s="3">
        <v>11.533333333333333</v>
      </c>
      <c r="E5" s="3">
        <v>1.3408348800000001</v>
      </c>
      <c r="F5" s="3">
        <v>13.039736852000001</v>
      </c>
    </row>
    <row r="6" spans="1:12" x14ac:dyDescent="0.25">
      <c r="A6" s="5" t="s">
        <v>58</v>
      </c>
      <c r="B6" s="8">
        <v>48</v>
      </c>
      <c r="C6" s="3">
        <v>25.166666666666668</v>
      </c>
      <c r="D6" s="3">
        <v>15.166666666666666</v>
      </c>
      <c r="E6" s="3">
        <v>2.6885812799999997</v>
      </c>
      <c r="F6" s="3">
        <v>17.065786471199999</v>
      </c>
    </row>
    <row r="7" spans="1:12" x14ac:dyDescent="0.25">
      <c r="A7" s="5" t="s">
        <v>71</v>
      </c>
      <c r="B7" s="8">
        <v>28</v>
      </c>
      <c r="C7" s="3">
        <v>22.185714285714283</v>
      </c>
      <c r="D7" s="3">
        <v>15.142857142857142</v>
      </c>
      <c r="E7" s="3">
        <v>1.2439008119999999</v>
      </c>
      <c r="F7" s="3">
        <v>7.661989619072</v>
      </c>
      <c r="L7">
        <f>2013-1977</f>
        <v>36</v>
      </c>
    </row>
    <row r="8" spans="1:12" x14ac:dyDescent="0.25">
      <c r="A8" s="5" t="s">
        <v>70</v>
      </c>
      <c r="B8" s="8">
        <v>72</v>
      </c>
      <c r="C8" s="3">
        <v>20.277777777777779</v>
      </c>
      <c r="D8" s="3">
        <v>12.555555555555555</v>
      </c>
      <c r="E8" s="3">
        <v>2.4796648799999996</v>
      </c>
      <c r="F8" s="3">
        <v>27.193900076000009</v>
      </c>
    </row>
    <row r="9" spans="1:12" x14ac:dyDescent="0.25">
      <c r="A9" s="5" t="s">
        <v>12</v>
      </c>
      <c r="B9" s="8">
        <v>208</v>
      </c>
      <c r="C9" s="3">
        <v>20.544230769230772</v>
      </c>
      <c r="D9" s="3">
        <v>13.211538461538462</v>
      </c>
      <c r="E9" s="3">
        <v>7.7529818520000022</v>
      </c>
      <c r="F9" s="3">
        <v>64.961413018272012</v>
      </c>
    </row>
    <row r="12" spans="1:12" x14ac:dyDescent="0.25">
      <c r="B12" s="90" t="s">
        <v>26</v>
      </c>
      <c r="C12" s="90" t="s">
        <v>27</v>
      </c>
      <c r="D12" s="87" t="s">
        <v>3</v>
      </c>
      <c r="E12" s="86" t="s">
        <v>14</v>
      </c>
      <c r="F12" s="86" t="s">
        <v>16</v>
      </c>
      <c r="G12" s="86" t="s">
        <v>17</v>
      </c>
      <c r="H12" s="86" t="s">
        <v>18</v>
      </c>
      <c r="I12" s="87" t="s">
        <v>28</v>
      </c>
      <c r="J12" s="87"/>
    </row>
    <row r="13" spans="1:12" x14ac:dyDescent="0.25">
      <c r="B13" s="90"/>
      <c r="C13" s="90"/>
      <c r="D13" s="87"/>
      <c r="E13" s="86"/>
      <c r="F13" s="86"/>
      <c r="G13" s="86"/>
      <c r="H13" s="86"/>
      <c r="I13" s="19" t="s">
        <v>29</v>
      </c>
      <c r="J13" s="19" t="s">
        <v>26</v>
      </c>
    </row>
    <row r="14" spans="1:12" x14ac:dyDescent="0.25">
      <c r="B14" s="88">
        <v>1</v>
      </c>
      <c r="C14" s="89">
        <v>1.03</v>
      </c>
      <c r="D14" s="12" t="str">
        <f>A5</f>
        <v>Alnus sp.</v>
      </c>
      <c r="E14" s="16">
        <f>GETPIVOTDATA("Suma de Densidad/Ha.",$A$3,"Especie","Alnus sp.")</f>
        <v>60</v>
      </c>
      <c r="F14" s="13">
        <f>GETPIVOTDATA("Promedio de DAP (cm)",$A$3,"Especie","Alnus sp.")</f>
        <v>16.399999999999999</v>
      </c>
      <c r="G14" s="13">
        <f>GETPIVOTDATA("Promedio de Altura (m)",$A$3,"Especie","Alnus sp.")</f>
        <v>11.533333333333333</v>
      </c>
      <c r="H14" s="13">
        <f>GETPIVOTDATA("Suma de AB/Ha.",$A$3,"Especie","Alnus sp.")</f>
        <v>1.3408348800000001</v>
      </c>
      <c r="I14" s="13">
        <f>GETPIVOTDATA("Suma de Volumen/Ha.",$A$3,"Especie","Alnus sp.")</f>
        <v>13.039736852000001</v>
      </c>
      <c r="J14" s="14">
        <f>I14*C14</f>
        <v>13.430928957560001</v>
      </c>
    </row>
    <row r="15" spans="1:12" s="1" customFormat="1" x14ac:dyDescent="0.25">
      <c r="B15" s="88"/>
      <c r="C15" s="89"/>
      <c r="D15" s="12" t="str">
        <f>A6</f>
        <v>Cupresus lusitanica</v>
      </c>
      <c r="E15" s="16">
        <f>GETPIVOTDATA("Suma de Densidad/Ha.",$A$3,"Especie","Cupresus lusitanica")</f>
        <v>48</v>
      </c>
      <c r="F15" s="13">
        <f>GETPIVOTDATA("Promedio de DAP (cm)",$A$3,"Especie","Cupresus lusitanica")</f>
        <v>25.166666666666668</v>
      </c>
      <c r="G15" s="13">
        <f>GETPIVOTDATA("Promedio de Altura (m)",$A$3,"Especie","Cupresus lusitanica")</f>
        <v>15.166666666666666</v>
      </c>
      <c r="H15" s="13">
        <f>GETPIVOTDATA("Suma de AB/Ha.",$A$3,"Especie","Cupresus lusitanica")</f>
        <v>2.6885812799999997</v>
      </c>
      <c r="I15" s="13">
        <f>GETPIVOTDATA("Suma de Volumen/Ha.",$A$3,"Especie","Cupresus lusitanica")</f>
        <v>17.065786471199999</v>
      </c>
      <c r="J15" s="59">
        <f>I15*C14</f>
        <v>17.577760065336001</v>
      </c>
    </row>
    <row r="16" spans="1:12" s="1" customFormat="1" x14ac:dyDescent="0.25">
      <c r="B16" s="88"/>
      <c r="C16" s="89"/>
      <c r="D16" s="12" t="str">
        <f>A7</f>
        <v>Pinus pseudostrobus</v>
      </c>
      <c r="E16" s="16">
        <f>GETPIVOTDATA("Suma de Densidad/Ha.",$A$3,"Especie","Pinus pseudostrobus")</f>
        <v>28</v>
      </c>
      <c r="F16" s="13">
        <f>GETPIVOTDATA("Promedio de DAP (cm)",$A$3,"Especie","Pinus pseudostrobus")</f>
        <v>22.185714285714283</v>
      </c>
      <c r="G16" s="13">
        <f>GETPIVOTDATA("Promedio de Altura (m)",$A$3,"Especie","Pinus pseudostrobus")</f>
        <v>15.142857142857142</v>
      </c>
      <c r="H16" s="13">
        <f>GETPIVOTDATA("Suma de AB/Ha.",$A$3,"Especie","Pinus pseudostrobus")</f>
        <v>1.2439008119999999</v>
      </c>
      <c r="I16" s="13">
        <f>GETPIVOTDATA("Suma de Volumen/Ha.",$A$3,"Especie","Pinus pseudostrobus")</f>
        <v>7.661989619072</v>
      </c>
      <c r="J16" s="59">
        <f>I16*C14</f>
        <v>7.8918493076441605</v>
      </c>
    </row>
    <row r="17" spans="2:10" x14ac:dyDescent="0.25">
      <c r="B17" s="88"/>
      <c r="C17" s="89"/>
      <c r="D17" s="12" t="str">
        <f>A8</f>
        <v>Arbutus xalapensis</v>
      </c>
      <c r="E17" s="16">
        <f>GETPIVOTDATA("Suma de Densidad/Ha.",$A$3,"Especie","Arbutus xalapensis")</f>
        <v>72</v>
      </c>
      <c r="F17" s="13">
        <f>GETPIVOTDATA("Promedio de DAP (cm)",$A$3,"Especie","Arbutus xalapensis")</f>
        <v>20.277777777777779</v>
      </c>
      <c r="G17" s="13">
        <f>GETPIVOTDATA("Promedio de Altura (m)",$A$3,"Especie","Arbutus xalapensis")</f>
        <v>12.555555555555555</v>
      </c>
      <c r="H17" s="13">
        <f>GETPIVOTDATA("Suma de AB/Ha.",$A$3,"Especie","Arbutus xalapensis")</f>
        <v>2.4796648799999996</v>
      </c>
      <c r="I17" s="13">
        <f>GETPIVOTDATA("Suma de Volumen/Ha.",$A$3,"Especie","Arbutus xalapensis")</f>
        <v>27.193900076000009</v>
      </c>
      <c r="J17" s="14">
        <f>I17*C14</f>
        <v>28.009717078280008</v>
      </c>
    </row>
    <row r="18" spans="2:10" x14ac:dyDescent="0.25">
      <c r="B18" s="88"/>
      <c r="C18" s="89"/>
      <c r="D18" s="17" t="s">
        <v>12</v>
      </c>
      <c r="E18" s="18">
        <f>SUM(E14:E17)</f>
        <v>208</v>
      </c>
      <c r="F18" s="73">
        <f>GETPIVOTDATA("Promedio de DAP (cm)",$A$3)</f>
        <v>20.544230769230772</v>
      </c>
      <c r="G18" s="73">
        <f>GETPIVOTDATA("Promedio de Altura (m)",$A$3)</f>
        <v>13.211538461538462</v>
      </c>
      <c r="H18" s="73">
        <f>GETPIVOTDATA("Suma de AB/Ha.",$A$3)</f>
        <v>7.7529818520000022</v>
      </c>
      <c r="I18" s="73">
        <f>GETPIVOTDATA("Suma de Volumen/Ha.",$A$3)</f>
        <v>64.961413018272012</v>
      </c>
      <c r="J18" s="73">
        <f>I18*C14</f>
        <v>66.910255408820177</v>
      </c>
    </row>
  </sheetData>
  <mergeCells count="10">
    <mergeCell ref="H12:H13"/>
    <mergeCell ref="I12:J12"/>
    <mergeCell ref="B14:B18"/>
    <mergeCell ref="C14:C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5" sqref="A5:G10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4" t="s">
        <v>15</v>
      </c>
    </row>
    <row r="4" spans="1:7" ht="30" x14ac:dyDescent="0.25">
      <c r="A4" s="49" t="s">
        <v>31</v>
      </c>
      <c r="B4" s="29" t="s">
        <v>14</v>
      </c>
      <c r="C4" s="29" t="s">
        <v>16</v>
      </c>
      <c r="D4" s="29" t="s">
        <v>17</v>
      </c>
      <c r="E4" s="29" t="s">
        <v>18</v>
      </c>
      <c r="F4" s="49" t="s">
        <v>19</v>
      </c>
      <c r="G4" s="22" t="s">
        <v>30</v>
      </c>
    </row>
    <row r="5" spans="1:7" x14ac:dyDescent="0.25">
      <c r="A5" s="48">
        <v>1</v>
      </c>
      <c r="B5" s="26">
        <v>36</v>
      </c>
      <c r="C5" s="27">
        <v>22.444444444444443</v>
      </c>
      <c r="D5" s="27">
        <v>13.111111111111111</v>
      </c>
      <c r="E5" s="27">
        <v>1.6147823999999997</v>
      </c>
      <c r="F5" s="47">
        <v>15.601624060800001</v>
      </c>
      <c r="G5" s="28">
        <f>F5*1.03</f>
        <v>16.069672782624</v>
      </c>
    </row>
    <row r="6" spans="1:7" x14ac:dyDescent="0.25">
      <c r="A6" s="48">
        <v>2</v>
      </c>
      <c r="B6" s="26">
        <v>36</v>
      </c>
      <c r="C6" s="27">
        <v>22.222222222222221</v>
      </c>
      <c r="D6" s="27">
        <v>12.666666666666666</v>
      </c>
      <c r="E6" s="27">
        <v>1.4633572800000001</v>
      </c>
      <c r="F6" s="47">
        <v>15.183588916</v>
      </c>
      <c r="G6" s="28">
        <f t="shared" ref="G6:G10" si="0">F6*1.03</f>
        <v>15.639096583480001</v>
      </c>
    </row>
    <row r="7" spans="1:7" x14ac:dyDescent="0.25">
      <c r="A7" s="48">
        <v>3</v>
      </c>
      <c r="B7" s="26">
        <v>48</v>
      </c>
      <c r="C7" s="27">
        <v>20</v>
      </c>
      <c r="D7" s="27">
        <v>13.25</v>
      </c>
      <c r="E7" s="27">
        <v>1.6066142400000001</v>
      </c>
      <c r="F7" s="47">
        <v>10.687693691200002</v>
      </c>
      <c r="G7" s="28">
        <f t="shared" si="0"/>
        <v>11.008324501936002</v>
      </c>
    </row>
    <row r="8" spans="1:7" x14ac:dyDescent="0.25">
      <c r="A8" s="48">
        <v>4</v>
      </c>
      <c r="B8" s="26">
        <v>36</v>
      </c>
      <c r="C8" s="27">
        <v>24.700000000000003</v>
      </c>
      <c r="D8" s="27">
        <v>15.888888888888889</v>
      </c>
      <c r="E8" s="27">
        <v>1.998198972</v>
      </c>
      <c r="F8" s="47">
        <v>13.960548533472</v>
      </c>
      <c r="G8" s="28">
        <f t="shared" si="0"/>
        <v>14.37936498947616</v>
      </c>
    </row>
    <row r="9" spans="1:7" x14ac:dyDescent="0.25">
      <c r="A9" s="48">
        <v>5</v>
      </c>
      <c r="B9" s="26">
        <v>52</v>
      </c>
      <c r="C9" s="27">
        <v>15.692307692307692</v>
      </c>
      <c r="D9" s="27">
        <v>11.76923076923077</v>
      </c>
      <c r="E9" s="27">
        <v>1.0700289600000001</v>
      </c>
      <c r="F9" s="47">
        <v>9.527957816799999</v>
      </c>
      <c r="G9" s="28">
        <f t="shared" si="0"/>
        <v>9.8137965513039997</v>
      </c>
    </row>
    <row r="10" spans="1:7" x14ac:dyDescent="0.25">
      <c r="A10" s="51" t="s">
        <v>12</v>
      </c>
      <c r="B10" s="30">
        <v>208</v>
      </c>
      <c r="C10" s="31">
        <v>20.544230769230772</v>
      </c>
      <c r="D10" s="31">
        <v>13.211538461538462</v>
      </c>
      <c r="E10" s="31">
        <v>7.7529818520000013</v>
      </c>
      <c r="F10" s="50">
        <v>64.961413018271998</v>
      </c>
      <c r="G10" s="32">
        <f t="shared" si="0"/>
        <v>66.910255408820163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6" workbookViewId="0">
      <selection activeCell="A4" sqref="A4:G22"/>
    </sheetView>
  </sheetViews>
  <sheetFormatPr baseColWidth="10" defaultColWidth="11.42578125" defaultRowHeight="15" x14ac:dyDescent="0.25"/>
  <cols>
    <col min="1" max="1" width="21.42578125" bestFit="1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4" t="s">
        <v>15</v>
      </c>
    </row>
    <row r="4" spans="1:8" ht="45" x14ac:dyDescent="0.25">
      <c r="A4" s="49" t="s">
        <v>33</v>
      </c>
      <c r="B4" s="29" t="s">
        <v>14</v>
      </c>
      <c r="C4" s="29" t="s">
        <v>16</v>
      </c>
      <c r="D4" s="29" t="s">
        <v>17</v>
      </c>
      <c r="E4" s="29" t="s">
        <v>18</v>
      </c>
      <c r="F4" s="49" t="s">
        <v>19</v>
      </c>
      <c r="G4" s="34" t="s">
        <v>32</v>
      </c>
    </row>
    <row r="5" spans="1:8" x14ac:dyDescent="0.25">
      <c r="A5" s="45" t="s">
        <v>53</v>
      </c>
      <c r="B5" s="24">
        <v>60</v>
      </c>
      <c r="C5" s="25">
        <v>16.399999999999999</v>
      </c>
      <c r="D5" s="25">
        <v>11.533333333333333</v>
      </c>
      <c r="E5" s="25">
        <v>1.3408348799999998</v>
      </c>
      <c r="F5" s="46">
        <v>13.039736852000003</v>
      </c>
      <c r="G5" s="15">
        <f>F5*1.03</f>
        <v>13.430928957560003</v>
      </c>
    </row>
    <row r="6" spans="1:8" x14ac:dyDescent="0.25">
      <c r="A6" s="6" t="s">
        <v>51</v>
      </c>
      <c r="B6" s="24">
        <v>44</v>
      </c>
      <c r="C6" s="25">
        <v>14.363636363636363</v>
      </c>
      <c r="D6" s="25">
        <v>10.545454545454545</v>
      </c>
      <c r="E6" s="25">
        <v>0.7319928</v>
      </c>
      <c r="F6" s="46">
        <v>6.1295139280000006</v>
      </c>
      <c r="G6" s="75">
        <f t="shared" ref="G6:G22" si="0">F6*1.03</f>
        <v>6.3133993458400006</v>
      </c>
    </row>
    <row r="7" spans="1:8" x14ac:dyDescent="0.25">
      <c r="A7" s="6" t="s">
        <v>52</v>
      </c>
      <c r="B7" s="24">
        <v>16</v>
      </c>
      <c r="C7" s="25">
        <v>22</v>
      </c>
      <c r="D7" s="25">
        <v>14.25</v>
      </c>
      <c r="E7" s="25">
        <v>0.60884207999999995</v>
      </c>
      <c r="F7" s="46">
        <v>6.910222924000001</v>
      </c>
      <c r="G7" s="75">
        <f t="shared" si="0"/>
        <v>7.1175296117200011</v>
      </c>
    </row>
    <row r="8" spans="1:8" x14ac:dyDescent="0.25">
      <c r="A8" s="45" t="s">
        <v>58</v>
      </c>
      <c r="B8" s="24">
        <v>48</v>
      </c>
      <c r="C8" s="25">
        <v>25.166666666666668</v>
      </c>
      <c r="D8" s="25">
        <v>15.166666666666666</v>
      </c>
      <c r="E8" s="25">
        <v>2.6885812800000002</v>
      </c>
      <c r="F8" s="46">
        <v>17.065786471199999</v>
      </c>
      <c r="G8" s="15">
        <f t="shared" si="0"/>
        <v>17.577760065336001</v>
      </c>
    </row>
    <row r="9" spans="1:8" x14ac:dyDescent="0.25">
      <c r="A9" s="6" t="s">
        <v>51</v>
      </c>
      <c r="B9" s="24">
        <v>16</v>
      </c>
      <c r="C9" s="25">
        <v>16.25</v>
      </c>
      <c r="D9" s="25">
        <v>13.75</v>
      </c>
      <c r="E9" s="25">
        <v>0.33583704000000003</v>
      </c>
      <c r="F9" s="46">
        <v>1.8906854711999999</v>
      </c>
      <c r="G9" s="75">
        <f t="shared" si="0"/>
        <v>1.9474060353359999</v>
      </c>
    </row>
    <row r="10" spans="1:8" x14ac:dyDescent="0.25">
      <c r="A10" s="6" t="s">
        <v>52</v>
      </c>
      <c r="B10" s="24">
        <v>20</v>
      </c>
      <c r="C10" s="25">
        <v>24.6</v>
      </c>
      <c r="D10" s="25">
        <v>14.4</v>
      </c>
      <c r="E10" s="25">
        <v>0.9672986400000001</v>
      </c>
      <c r="F10" s="46">
        <v>5.490485616</v>
      </c>
      <c r="G10" s="75">
        <f t="shared" si="0"/>
        <v>5.6552001844799999</v>
      </c>
    </row>
    <row r="11" spans="1:8" x14ac:dyDescent="0.25">
      <c r="A11" s="6" t="s">
        <v>62</v>
      </c>
      <c r="B11" s="24">
        <v>8</v>
      </c>
      <c r="C11" s="25">
        <v>34.5</v>
      </c>
      <c r="D11" s="25">
        <v>17.5</v>
      </c>
      <c r="E11" s="25">
        <v>0.74927159999999993</v>
      </c>
      <c r="F11" s="46">
        <v>4.9467838151999999</v>
      </c>
      <c r="G11" s="75">
        <f t="shared" si="0"/>
        <v>5.0951873296560004</v>
      </c>
      <c r="H11" s="53"/>
    </row>
    <row r="12" spans="1:8" x14ac:dyDescent="0.25">
      <c r="A12" s="6" t="s">
        <v>63</v>
      </c>
      <c r="B12" s="24">
        <v>4</v>
      </c>
      <c r="C12" s="25">
        <v>45</v>
      </c>
      <c r="D12" s="25">
        <v>20</v>
      </c>
      <c r="E12" s="25">
        <v>0.63617400000000002</v>
      </c>
      <c r="F12" s="46">
        <v>4.7378315687999999</v>
      </c>
      <c r="G12" s="75">
        <f t="shared" si="0"/>
        <v>4.879966515864</v>
      </c>
      <c r="H12" s="53"/>
    </row>
    <row r="13" spans="1:8" x14ac:dyDescent="0.25">
      <c r="A13" s="45" t="s">
        <v>71</v>
      </c>
      <c r="B13" s="24">
        <v>28</v>
      </c>
      <c r="C13" s="25">
        <v>22.185714285714287</v>
      </c>
      <c r="D13" s="25">
        <v>15.142857142857142</v>
      </c>
      <c r="E13" s="25">
        <v>1.2439008119999999</v>
      </c>
      <c r="F13" s="46">
        <v>7.661989619072</v>
      </c>
      <c r="G13" s="15">
        <f t="shared" si="0"/>
        <v>7.8918493076441605</v>
      </c>
      <c r="H13" s="53"/>
    </row>
    <row r="14" spans="1:8" x14ac:dyDescent="0.25">
      <c r="A14" s="6" t="s">
        <v>51</v>
      </c>
      <c r="B14" s="24">
        <v>12</v>
      </c>
      <c r="C14" s="25">
        <v>16.033333333333335</v>
      </c>
      <c r="D14" s="25">
        <v>12.333333333333334</v>
      </c>
      <c r="E14" s="25">
        <v>0.2429116536</v>
      </c>
      <c r="F14" s="46">
        <v>1.1556974140159999</v>
      </c>
      <c r="G14" s="75">
        <f t="shared" si="0"/>
        <v>1.1903683364364799</v>
      </c>
      <c r="H14" s="53"/>
    </row>
    <row r="15" spans="1:8" x14ac:dyDescent="0.25">
      <c r="A15" s="6" t="s">
        <v>52</v>
      </c>
      <c r="B15" s="24">
        <v>12</v>
      </c>
      <c r="C15" s="25">
        <v>21.733333333333334</v>
      </c>
      <c r="D15" s="25">
        <v>17</v>
      </c>
      <c r="E15" s="25">
        <v>0.44681091839999998</v>
      </c>
      <c r="F15" s="46">
        <v>2.852878256256</v>
      </c>
      <c r="G15" s="75">
        <f t="shared" si="0"/>
        <v>2.9384646039436801</v>
      </c>
      <c r="H15" s="53"/>
    </row>
    <row r="16" spans="1:8" x14ac:dyDescent="0.25">
      <c r="A16" s="6" t="s">
        <v>63</v>
      </c>
      <c r="B16" s="24">
        <v>4</v>
      </c>
      <c r="C16" s="25">
        <v>42</v>
      </c>
      <c r="D16" s="25">
        <v>18</v>
      </c>
      <c r="E16" s="25">
        <v>0.55417823999999993</v>
      </c>
      <c r="F16" s="46">
        <v>3.6534139487999999</v>
      </c>
      <c r="G16" s="75">
        <f t="shared" si="0"/>
        <v>3.763016367264</v>
      </c>
    </row>
    <row r="17" spans="1:7" x14ac:dyDescent="0.25">
      <c r="A17" s="45" t="s">
        <v>70</v>
      </c>
      <c r="B17" s="24">
        <v>72</v>
      </c>
      <c r="C17" s="25">
        <v>20.277777777777779</v>
      </c>
      <c r="D17" s="25">
        <v>12.555555555555555</v>
      </c>
      <c r="E17" s="25">
        <v>2.4796648800000001</v>
      </c>
      <c r="F17" s="46">
        <v>27.193900076000006</v>
      </c>
      <c r="G17" s="15">
        <f t="shared" si="0"/>
        <v>28.009717078280005</v>
      </c>
    </row>
    <row r="18" spans="1:7" x14ac:dyDescent="0.25">
      <c r="A18" s="6" t="s">
        <v>51</v>
      </c>
      <c r="B18" s="24">
        <v>28</v>
      </c>
      <c r="C18" s="25">
        <v>15.857142857142858</v>
      </c>
      <c r="D18" s="25">
        <v>11.428571428571429</v>
      </c>
      <c r="E18" s="25">
        <v>0.5639171999999999</v>
      </c>
      <c r="F18" s="46">
        <v>6.9021602480000004</v>
      </c>
      <c r="G18" s="75">
        <f t="shared" si="0"/>
        <v>7.1092250554400005</v>
      </c>
    </row>
    <row r="19" spans="1:7" x14ac:dyDescent="0.25">
      <c r="A19" s="6" t="s">
        <v>52</v>
      </c>
      <c r="B19" s="24">
        <v>32</v>
      </c>
      <c r="C19" s="25">
        <v>22.625</v>
      </c>
      <c r="D19" s="25">
        <v>12.875</v>
      </c>
      <c r="E19" s="25">
        <v>1.2971666400000001</v>
      </c>
      <c r="F19" s="46">
        <v>13.289241272</v>
      </c>
      <c r="G19" s="75">
        <f t="shared" si="0"/>
        <v>13.687918510160001</v>
      </c>
    </row>
    <row r="20" spans="1:7" x14ac:dyDescent="0.25">
      <c r="A20" s="6" t="s">
        <v>62</v>
      </c>
      <c r="B20" s="24">
        <v>8</v>
      </c>
      <c r="C20" s="25">
        <v>30</v>
      </c>
      <c r="D20" s="25">
        <v>16</v>
      </c>
      <c r="E20" s="25">
        <v>0.56548799999999999</v>
      </c>
      <c r="F20" s="46">
        <v>6.2233829280000013</v>
      </c>
      <c r="G20" s="75">
        <f t="shared" si="0"/>
        <v>6.4100844158400019</v>
      </c>
    </row>
    <row r="21" spans="1:7" x14ac:dyDescent="0.25">
      <c r="A21" s="6" t="s">
        <v>73</v>
      </c>
      <c r="B21" s="24">
        <v>4</v>
      </c>
      <c r="C21" s="25">
        <v>13</v>
      </c>
      <c r="D21" s="25">
        <v>11</v>
      </c>
      <c r="E21" s="25">
        <v>5.3093040000000008E-2</v>
      </c>
      <c r="F21" s="46">
        <v>0.779115628</v>
      </c>
      <c r="G21" s="83">
        <f t="shared" si="0"/>
        <v>0.80248909684000003</v>
      </c>
    </row>
    <row r="22" spans="1:7" x14ac:dyDescent="0.25">
      <c r="A22" s="52" t="s">
        <v>12</v>
      </c>
      <c r="B22" s="43">
        <v>208</v>
      </c>
      <c r="C22" s="44">
        <v>20.544230769230772</v>
      </c>
      <c r="D22" s="44">
        <v>13.211538461538462</v>
      </c>
      <c r="E22" s="44">
        <v>7.7529818520000013</v>
      </c>
      <c r="F22" s="74">
        <v>64.961413018271998</v>
      </c>
      <c r="G22" s="33">
        <f t="shared" si="0"/>
        <v>66.910255408820163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H6" sqref="H6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91" t="s">
        <v>34</v>
      </c>
      <c r="C3" s="91"/>
      <c r="D3" s="35" t="s">
        <v>35</v>
      </c>
      <c r="E3" s="35" t="s">
        <v>36</v>
      </c>
      <c r="F3" s="36" t="s">
        <v>37</v>
      </c>
    </row>
    <row r="4" spans="2:6" x14ac:dyDescent="0.25">
      <c r="B4" s="91"/>
      <c r="C4" s="91"/>
      <c r="D4" s="37">
        <v>1.03</v>
      </c>
      <c r="E4" s="37">
        <v>2.1320000000000001</v>
      </c>
      <c r="F4" s="37">
        <v>5</v>
      </c>
    </row>
    <row r="5" spans="2:6" x14ac:dyDescent="0.25">
      <c r="B5" s="35" t="s">
        <v>38</v>
      </c>
      <c r="C5" s="35" t="s">
        <v>39</v>
      </c>
      <c r="D5" s="35" t="s">
        <v>40</v>
      </c>
      <c r="E5" s="35" t="s">
        <v>41</v>
      </c>
      <c r="F5" s="35" t="s">
        <v>42</v>
      </c>
    </row>
    <row r="6" spans="2:6" x14ac:dyDescent="0.25">
      <c r="B6" s="35">
        <v>1</v>
      </c>
      <c r="C6" s="47">
        <v>15.601624060800001</v>
      </c>
      <c r="D6" s="38">
        <f>C6*C6</f>
        <v>243.4106733345335</v>
      </c>
      <c r="E6" s="35" t="s">
        <v>43</v>
      </c>
      <c r="F6" s="39">
        <f>C16/F4</f>
        <v>12.992282603654399</v>
      </c>
    </row>
    <row r="7" spans="2:6" x14ac:dyDescent="0.25">
      <c r="B7" s="35">
        <v>2</v>
      </c>
      <c r="C7" s="47">
        <v>15.183588916</v>
      </c>
      <c r="D7" s="38">
        <f>C7*C7</f>
        <v>230.54137237007805</v>
      </c>
      <c r="E7" s="35" t="s">
        <v>44</v>
      </c>
      <c r="F7" s="40">
        <f>(((D16)-((C16*C16)/F4))/(F4-1))</f>
        <v>7.4651753473928864</v>
      </c>
    </row>
    <row r="8" spans="2:6" x14ac:dyDescent="0.25">
      <c r="B8" s="35">
        <v>3</v>
      </c>
      <c r="C8" s="47">
        <v>10.687693691200002</v>
      </c>
      <c r="D8" s="38">
        <f>C8*C8</f>
        <v>114.22679643691632</v>
      </c>
      <c r="E8" s="35" t="s">
        <v>45</v>
      </c>
      <c r="F8" s="40">
        <f>SQRT(F7)</f>
        <v>2.7322473071434961</v>
      </c>
    </row>
    <row r="9" spans="2:6" x14ac:dyDescent="0.25">
      <c r="B9" s="35">
        <v>4</v>
      </c>
      <c r="C9" s="47">
        <v>13.960548533472</v>
      </c>
      <c r="D9" s="38">
        <f t="shared" ref="D9:D15" si="0">C9*C9</f>
        <v>194.89691535542721</v>
      </c>
      <c r="E9" s="35" t="s">
        <v>46</v>
      </c>
      <c r="F9" s="40">
        <f>SQRT(((F7)/F4)*(1-((F4)/(D4*10))))</f>
        <v>0.87650485675006518</v>
      </c>
    </row>
    <row r="10" spans="2:6" x14ac:dyDescent="0.25">
      <c r="B10" s="60">
        <v>5</v>
      </c>
      <c r="C10" s="47">
        <v>9.527957816799999</v>
      </c>
      <c r="D10" s="38">
        <f t="shared" si="0"/>
        <v>90.781980158720202</v>
      </c>
      <c r="E10" s="35" t="s">
        <v>47</v>
      </c>
      <c r="F10" s="40">
        <f>F9*E4</f>
        <v>1.8687083545911392</v>
      </c>
    </row>
    <row r="11" spans="2:6" x14ac:dyDescent="0.25">
      <c r="B11" s="60">
        <v>6</v>
      </c>
      <c r="C11" s="47"/>
      <c r="D11" s="38">
        <f t="shared" si="0"/>
        <v>0</v>
      </c>
      <c r="E11" s="35" t="s">
        <v>47</v>
      </c>
      <c r="F11" s="41">
        <f>((F10)/F6)</f>
        <v>0.14383218188815558</v>
      </c>
    </row>
    <row r="12" spans="2:6" x14ac:dyDescent="0.25">
      <c r="B12" s="60">
        <v>7</v>
      </c>
      <c r="C12" s="47"/>
      <c r="D12" s="38">
        <f t="shared" si="0"/>
        <v>0</v>
      </c>
      <c r="E12" s="35" t="s">
        <v>48</v>
      </c>
      <c r="F12" s="40">
        <f>F6+F10</f>
        <v>14.860990958245537</v>
      </c>
    </row>
    <row r="13" spans="2:6" x14ac:dyDescent="0.25">
      <c r="B13" s="60">
        <v>8</v>
      </c>
      <c r="C13" s="47"/>
      <c r="D13" s="38">
        <f t="shared" si="0"/>
        <v>0</v>
      </c>
      <c r="E13" s="35" t="s">
        <v>49</v>
      </c>
      <c r="F13" s="40">
        <f>F6-F10</f>
        <v>11.12357424906326</v>
      </c>
    </row>
    <row r="14" spans="2:6" x14ac:dyDescent="0.25">
      <c r="B14" s="60">
        <v>9</v>
      </c>
      <c r="C14" s="47"/>
      <c r="D14" s="38">
        <f t="shared" si="0"/>
        <v>0</v>
      </c>
      <c r="E14" s="35"/>
      <c r="F14" s="40"/>
    </row>
    <row r="15" spans="2:6" x14ac:dyDescent="0.25">
      <c r="B15" s="60">
        <v>10</v>
      </c>
      <c r="C15" s="47"/>
      <c r="D15" s="38">
        <f t="shared" si="0"/>
        <v>0</v>
      </c>
      <c r="E15" s="35"/>
      <c r="F15" s="40"/>
    </row>
    <row r="16" spans="2:6" x14ac:dyDescent="0.25">
      <c r="B16" s="35" t="s">
        <v>50</v>
      </c>
      <c r="C16" s="42">
        <f>SUM(C6:C15)</f>
        <v>64.961413018271998</v>
      </c>
      <c r="D16" s="42">
        <f>SUM(D6:D15)</f>
        <v>873.85773765567524</v>
      </c>
      <c r="E16" s="35"/>
      <c r="F16" s="35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% de abundancia</vt:lpstr>
      <vt:lpstr>cuadro 3</vt:lpstr>
      <vt:lpstr>anexo 2</vt:lpstr>
      <vt:lpstr>anexo 3</vt:lpstr>
      <vt:lpstr>analisis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2017-03-26T23:58:03Z</dcterms:modified>
</cp:coreProperties>
</file>