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HENRY_LOPEZ_IF_2013\01Francisca Carrillo\"/>
    </mc:Choice>
  </mc:AlternateContent>
  <bookViews>
    <workbookView xWindow="240" yWindow="75" windowWidth="15480" windowHeight="7995"/>
  </bookViews>
  <sheets>
    <sheet name="base de datos" sheetId="1" r:id="rId1"/>
    <sheet name="% de abundancia" sheetId="4" r:id="rId2"/>
    <sheet name="cuadro 3" sheetId="5" r:id="rId3"/>
    <sheet name="anexo 2" sheetId="6" r:id="rId4"/>
    <sheet name="analisis" sheetId="2" r:id="rId5"/>
    <sheet name="anexo 3" sheetId="7" r:id="rId6"/>
  </sheets>
  <definedNames>
    <definedName name="_xlnm._FilterDatabase" localSheetId="0" hidden="1">'base de datos'!$A$2:$P$23</definedName>
  </definedNames>
  <calcPr calcId="152511"/>
  <pivotCaches>
    <pivotCache cacheId="32" r:id="rId7"/>
  </pivotCaches>
</workbook>
</file>

<file path=xl/calcChain.xml><?xml version="1.0" encoding="utf-8"?>
<calcChain xmlns="http://schemas.openxmlformats.org/spreadsheetml/2006/main">
  <c r="L23" i="1" l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1" i="7"/>
  <c r="G12" i="7"/>
  <c r="G6" i="7"/>
  <c r="G7" i="7"/>
  <c r="G8" i="7"/>
  <c r="G9" i="7"/>
  <c r="G10" i="7"/>
  <c r="H21" i="1"/>
  <c r="J21" i="1"/>
  <c r="D16" i="5"/>
  <c r="D15" i="5"/>
  <c r="D14" i="5"/>
  <c r="E16" i="4"/>
  <c r="E15" i="4"/>
  <c r="D16" i="4"/>
  <c r="D15" i="4"/>
  <c r="J20" i="1"/>
  <c r="H22" i="1"/>
  <c r="J22" i="1"/>
  <c r="H23" i="1"/>
  <c r="J23" i="1"/>
  <c r="J12" i="1"/>
  <c r="H13" i="1"/>
  <c r="H14" i="1"/>
  <c r="H15" i="1"/>
  <c r="H16" i="1"/>
  <c r="H17" i="1"/>
  <c r="H18" i="1"/>
  <c r="H19" i="1"/>
  <c r="H20" i="1"/>
  <c r="H14" i="5"/>
  <c r="I14" i="5"/>
  <c r="E15" i="5"/>
  <c r="F16" i="4"/>
  <c r="G15" i="5"/>
  <c r="H15" i="5"/>
  <c r="F16" i="5"/>
  <c r="G16" i="5"/>
  <c r="F14" i="5"/>
  <c r="G14" i="5"/>
  <c r="F15" i="5"/>
  <c r="E16" i="5"/>
  <c r="I15" i="5"/>
  <c r="F14" i="4"/>
  <c r="E14" i="5"/>
  <c r="H16" i="5"/>
  <c r="I16" i="5"/>
  <c r="F15" i="4"/>
  <c r="J14" i="5" l="1"/>
  <c r="J15" i="5"/>
  <c r="J16" i="5"/>
  <c r="F17" i="4"/>
  <c r="G15" i="4" s="1"/>
  <c r="G16" i="4" l="1"/>
  <c r="G6" i="6"/>
  <c r="G7" i="6"/>
  <c r="G5" i="6"/>
  <c r="G5" i="7"/>
  <c r="J19" i="1"/>
  <c r="J18" i="1"/>
  <c r="J17" i="1"/>
  <c r="J16" i="1"/>
  <c r="J15" i="1"/>
  <c r="J14" i="1"/>
  <c r="J13" i="1"/>
  <c r="J11" i="1"/>
  <c r="J10" i="1"/>
  <c r="J9" i="1"/>
  <c r="J8" i="1"/>
  <c r="J7" i="1"/>
  <c r="J6" i="1"/>
  <c r="J5" i="1"/>
  <c r="J4" i="1"/>
  <c r="J3" i="1"/>
  <c r="J2" i="1"/>
  <c r="H11" i="1"/>
  <c r="H3" i="1"/>
  <c r="O3" i="1"/>
  <c r="E14" i="4"/>
  <c r="D14" i="4"/>
  <c r="K10" i="4"/>
  <c r="L7" i="5"/>
  <c r="C16" i="2"/>
  <c r="F6" i="2" s="1"/>
  <c r="D15" i="2"/>
  <c r="D14" i="2"/>
  <c r="D13" i="2"/>
  <c r="D12" i="2"/>
  <c r="D11" i="2"/>
  <c r="D10" i="2"/>
  <c r="D9" i="2"/>
  <c r="D8" i="2"/>
  <c r="D7" i="2"/>
  <c r="D6" i="2"/>
  <c r="H4" i="1"/>
  <c r="H5" i="1"/>
  <c r="H6" i="1"/>
  <c r="H7" i="1"/>
  <c r="H8" i="1"/>
  <c r="H9" i="1"/>
  <c r="H10" i="1"/>
  <c r="H12" i="1"/>
  <c r="H2" i="1"/>
  <c r="F17" i="5"/>
  <c r="I17" i="5"/>
  <c r="G17" i="5"/>
  <c r="E17" i="5"/>
  <c r="H17" i="5"/>
  <c r="J17" i="5" l="1"/>
  <c r="D16" i="2"/>
  <c r="F7" i="2" s="1"/>
  <c r="F9" i="2" s="1"/>
  <c r="F10" i="2" s="1"/>
  <c r="F11" i="2" s="1"/>
  <c r="G17" i="4"/>
  <c r="G14" i="4" l="1"/>
  <c r="F8" i="2"/>
  <c r="F13" i="2"/>
  <c r="F12" i="2"/>
</calcChain>
</file>

<file path=xl/sharedStrings.xml><?xml version="1.0" encoding="utf-8"?>
<sst xmlns="http://schemas.openxmlformats.org/spreadsheetml/2006/main" count="167" uniqueCount="69">
  <si>
    <t>Parcela</t>
  </si>
  <si>
    <t>No. Arbol</t>
  </si>
  <si>
    <t>Nombre común</t>
  </si>
  <si>
    <t>Especie</t>
  </si>
  <si>
    <t>Clase diámetrica</t>
  </si>
  <si>
    <t>DAP (cm)</t>
  </si>
  <si>
    <t>Altura (m)</t>
  </si>
  <si>
    <t>Area Basal (m2)</t>
  </si>
  <si>
    <t>AB/Ha.</t>
  </si>
  <si>
    <t>Volumen (m3)</t>
  </si>
  <si>
    <t>Volumen/Ha.</t>
  </si>
  <si>
    <t>Densidad/Ha.</t>
  </si>
  <si>
    <t>Rótulos de fila</t>
  </si>
  <si>
    <t>Total general</t>
  </si>
  <si>
    <t>Cuenta de No. Arbol</t>
  </si>
  <si>
    <t>Suma de Densidad/Ha.</t>
  </si>
  <si>
    <t>Valores</t>
  </si>
  <si>
    <t>Promedio de DAP (cm)</t>
  </si>
  <si>
    <t>Promedio de Altura (m)</t>
  </si>
  <si>
    <t>Suma de AB/Ha.</t>
  </si>
  <si>
    <t>Suma de Volumen/Ha.</t>
  </si>
  <si>
    <t>No.</t>
  </si>
  <si>
    <t>NOMBRE COMUN</t>
  </si>
  <si>
    <t>ESPECIE</t>
  </si>
  <si>
    <t>PRESENCIA</t>
  </si>
  <si>
    <t>% DE ABUNDANCIA</t>
  </si>
  <si>
    <t>Total General</t>
  </si>
  <si>
    <t>Rodal</t>
  </si>
  <si>
    <t>Área (has)</t>
  </si>
  <si>
    <r>
      <t>Volumen m</t>
    </r>
    <r>
      <rPr>
        <b/>
        <sz val="11"/>
        <color theme="1"/>
        <rFont val="Calibri"/>
        <family val="2"/>
      </rPr>
      <t>³</t>
    </r>
  </si>
  <si>
    <t>Ha.</t>
  </si>
  <si>
    <t>Volumen/ Rodal</t>
  </si>
  <si>
    <t>No. De Parcela</t>
  </si>
  <si>
    <t>Volumen Total</t>
  </si>
  <si>
    <t>Especie y Clase Diametrica</t>
  </si>
  <si>
    <t>ANALISIS ESTADISTICO</t>
  </si>
  <si>
    <t>AREA (Ha.)</t>
  </si>
  <si>
    <t>VALOR DE T</t>
  </si>
  <si>
    <t>No. PARCELAS</t>
  </si>
  <si>
    <t>PARCELA</t>
  </si>
  <si>
    <t>VOLUMEN/ha</t>
  </si>
  <si>
    <t>(VOLUMEN)²</t>
  </si>
  <si>
    <t>PARAMETRO</t>
  </si>
  <si>
    <t>RESULTADO</t>
  </si>
  <si>
    <t>MEDIA ARITMETICA</t>
  </si>
  <si>
    <t xml:space="preserve">VARIANZA </t>
  </si>
  <si>
    <t>DESVIACION ESTANDAR</t>
  </si>
  <si>
    <t>ERROR ESTANDAR</t>
  </si>
  <si>
    <t>ERROR DE MUESTREO</t>
  </si>
  <si>
    <t xml:space="preserve">LIMITE SUPERIOR </t>
  </si>
  <si>
    <t>LIMITE INFERIOR</t>
  </si>
  <si>
    <t>TOTAL</t>
  </si>
  <si>
    <t>10 - 19.9</t>
  </si>
  <si>
    <t>20 - 29.9</t>
  </si>
  <si>
    <t>Alnus sp.</t>
  </si>
  <si>
    <t>ha.</t>
  </si>
  <si>
    <t>mts.</t>
  </si>
  <si>
    <t>Chulube</t>
  </si>
  <si>
    <t>Pino triste</t>
  </si>
  <si>
    <t xml:space="preserve">Aliso </t>
  </si>
  <si>
    <t>de la parcela 1a la 3</t>
  </si>
  <si>
    <t>de la parcela 4 a la 8</t>
  </si>
  <si>
    <t>1.034 has</t>
  </si>
  <si>
    <t>0.779 has</t>
  </si>
  <si>
    <t>de la parcela 9 a la 10</t>
  </si>
  <si>
    <t>1.12 has</t>
  </si>
  <si>
    <t>Arbutus xalapensis</t>
  </si>
  <si>
    <t>Pinus pseudostrobus</t>
  </si>
  <si>
    <t>area total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</si>
</sst>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\ &quot;m³&quot;"/>
  </numFmts>
  <fonts count="10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NumberFormat="1" applyBorder="1"/>
    <xf numFmtId="2" fontId="0" fillId="0" borderId="2" xfId="0" applyNumberFormat="1" applyBorder="1"/>
    <xf numFmtId="2" fontId="0" fillId="0" borderId="2" xfId="0" applyNumberForma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" fontId="0" fillId="0" borderId="2" xfId="0" applyNumberFormat="1" applyBorder="1"/>
    <xf numFmtId="0" fontId="2" fillId="4" borderId="2" xfId="0" applyFont="1" applyFill="1" applyBorder="1" applyAlignment="1">
      <alignment horizontal="left"/>
    </xf>
    <xf numFmtId="1" fontId="2" fillId="4" borderId="2" xfId="0" applyNumberFormat="1" applyFont="1" applyFill="1" applyBorder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/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wrapText="1"/>
    </xf>
    <xf numFmtId="0" fontId="2" fillId="5" borderId="2" xfId="0" applyFont="1" applyFill="1" applyBorder="1"/>
    <xf numFmtId="1" fontId="2" fillId="5" borderId="2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3" borderId="2" xfId="0" applyNumberForma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wrapText="1"/>
    </xf>
    <xf numFmtId="1" fontId="0" fillId="5" borderId="2" xfId="0" applyNumberFormat="1" applyFill="1" applyBorder="1" applyAlignment="1">
      <alignment horizontal="center" wrapText="1"/>
    </xf>
    <xf numFmtId="2" fontId="0" fillId="5" borderId="2" xfId="0" applyNumberFormat="1" applyFill="1" applyBorder="1" applyAlignment="1">
      <alignment horizont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5" fillId="7" borderId="2" xfId="1" applyFont="1" applyFill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165" fontId="6" fillId="0" borderId="2" xfId="1" applyNumberFormat="1" applyFont="1" applyBorder="1" applyAlignment="1">
      <alignment horizontal="right"/>
    </xf>
    <xf numFmtId="164" fontId="6" fillId="0" borderId="2" xfId="1" applyNumberFormat="1" applyFont="1" applyBorder="1" applyAlignment="1">
      <alignment horizontal="right"/>
    </xf>
    <xf numFmtId="2" fontId="0" fillId="0" borderId="2" xfId="0" applyNumberFormat="1" applyFill="1" applyBorder="1" applyAlignment="1">
      <alignment horizontal="center" vertical="center"/>
    </xf>
    <xf numFmtId="10" fontId="6" fillId="8" borderId="2" xfId="2" applyNumberFormat="1" applyFont="1" applyFill="1" applyBorder="1" applyAlignment="1">
      <alignment horizontal="right"/>
    </xf>
    <xf numFmtId="164" fontId="6" fillId="0" borderId="2" xfId="1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2" fontId="0" fillId="5" borderId="3" xfId="0" applyNumberForma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3" borderId="0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7" fillId="9" borderId="2" xfId="0" applyFont="1" applyFill="1" applyBorder="1"/>
    <xf numFmtId="0" fontId="0" fillId="10" borderId="2" xfId="0" applyFill="1" applyBorder="1"/>
    <xf numFmtId="0" fontId="0" fillId="0" borderId="0" xfId="0" applyBorder="1"/>
    <xf numFmtId="0" fontId="2" fillId="0" borderId="0" xfId="0" applyFont="1" applyBorder="1"/>
    <xf numFmtId="2" fontId="0" fillId="0" borderId="2" xfId="0" applyNumberFormat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Font="1" applyFill="1" applyBorder="1"/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2" xfId="0" applyFont="1" applyFill="1" applyBorder="1"/>
    <xf numFmtId="0" fontId="0" fillId="0" borderId="2" xfId="0" applyFill="1" applyBorder="1"/>
    <xf numFmtId="0" fontId="2" fillId="0" borderId="0" xfId="0" applyFont="1" applyFill="1" applyBorder="1"/>
    <xf numFmtId="0" fontId="9" fillId="0" borderId="0" xfId="0" applyFont="1"/>
    <xf numFmtId="2" fontId="2" fillId="4" borderId="2" xfId="0" applyNumberFormat="1" applyFont="1" applyFill="1" applyBorder="1"/>
    <xf numFmtId="2" fontId="0" fillId="3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Border="1" applyAlignment="1"/>
    <xf numFmtId="0" fontId="0" fillId="0" borderId="0" xfId="0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0" xfId="0" applyFont="1"/>
    <xf numFmtId="0" fontId="1" fillId="2" borderId="1" xfId="0" applyFont="1" applyFill="1" applyBorder="1" applyAlignment="1">
      <alignment vertical="center" wrapText="1"/>
    </xf>
    <xf numFmtId="0" fontId="0" fillId="5" borderId="3" xfId="0" applyFill="1" applyBorder="1" applyAlignment="1">
      <alignment horizontal="left"/>
    </xf>
    <xf numFmtId="1" fontId="0" fillId="5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5" fillId="0" borderId="2" xfId="1" applyFont="1" applyBorder="1" applyAlignment="1">
      <alignment horizontal="center"/>
    </xf>
  </cellXfs>
  <cellStyles count="3">
    <cellStyle name="Normal" xfId="0" builtinId="0"/>
    <cellStyle name="Normal 2" xfId="1"/>
    <cellStyle name="Porcentaje 2" xfId="2"/>
  </cellStyles>
  <dxfs count="40">
    <dxf>
      <border>
        <bottom style="thin">
          <color indexed="64"/>
        </bottom>
        <horizontal style="thin">
          <color indexed="64"/>
        </horizontal>
      </border>
    </dxf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2" formatCode="0.00"/>
    </dxf>
    <dxf>
      <numFmt numFmtId="1" formatCode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final" refreshedDate="41772.774292939815" createdVersion="3" refreshedVersion="3" minRefreshableVersion="3" recordCount="22">
  <cacheSource type="worksheet">
    <worksheetSource ref="A1:L23" sheet="base de datos"/>
  </cacheSource>
  <cacheFields count="12">
    <cacheField name="Parcela" numFmtId="0">
      <sharedItems containsSemiMixedTypes="0" containsString="0" containsNumber="1" containsInteger="1" minValue="1" maxValue="2" count="2">
        <n v="1"/>
        <n v="2"/>
      </sharedItems>
    </cacheField>
    <cacheField name="No. Arbol" numFmtId="0">
      <sharedItems containsSemiMixedTypes="0" containsString="0" containsNumber="1" containsInteger="1" minValue="1" maxValue="11"/>
    </cacheField>
    <cacheField name="Nombre común" numFmtId="0">
      <sharedItems count="3">
        <s v="Pino triste"/>
        <s v="Aliso "/>
        <s v="Chulube"/>
      </sharedItems>
    </cacheField>
    <cacheField name="Especie" numFmtId="0">
      <sharedItems count="5">
        <s v="Pinus pseudostrobus"/>
        <s v="Alnus sp."/>
        <s v="Arbutus xalapensis"/>
        <s v="Pinus psudostrobus" u="1"/>
        <s v="N.D" u="1"/>
      </sharedItems>
    </cacheField>
    <cacheField name="Clase diámetrica" numFmtId="0">
      <sharedItems count="2">
        <s v="20 - 29.9"/>
        <s v="10 - 19.9"/>
      </sharedItems>
    </cacheField>
    <cacheField name="DAP (cm)" numFmtId="0">
      <sharedItems containsSemiMixedTypes="0" containsString="0" containsNumber="1" minValue="11" maxValue="26"/>
    </cacheField>
    <cacheField name="Altura (m)" numFmtId="0">
      <sharedItems containsSemiMixedTypes="0" containsString="0" containsNumber="1" containsInteger="1" minValue="7" maxValue="19"/>
    </cacheField>
    <cacheField name="Area Basal (m2)" numFmtId="2">
      <sharedItems containsSemiMixedTypes="0" containsString="0" containsNumber="1" minValue="9.503339999999999E-3" maxValue="5.3093040000000008E-2"/>
    </cacheField>
    <cacheField name="AB/Ha." numFmtId="2">
      <sharedItems containsSemiMixedTypes="0" containsString="0" containsNumber="1" minValue="9.503339999999999E-2" maxValue="0.53093040000000002"/>
    </cacheField>
    <cacheField name="Volumen (m3)" numFmtId="2">
      <sharedItems containsSemiMixedTypes="0" containsString="0" containsNumber="1" minValue="3.2771010399999995E-2" maxValue="0.35314925039999995"/>
    </cacheField>
    <cacheField name="Volumen/Ha." numFmtId="2">
      <sharedItems containsSemiMixedTypes="0" containsString="0" containsNumber="1" minValue="0.32771010399999995" maxValue="3.5314925039999991"/>
    </cacheField>
    <cacheField name="Densidad/Ha." numFmtId="2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n v="1"/>
    <x v="0"/>
    <x v="0"/>
    <x v="0"/>
    <n v="23"/>
    <n v="19"/>
    <n v="4.154766E-2"/>
    <n v="0.41547659999999997"/>
    <n v="0.29259204199999994"/>
    <n v="2.9259204199999993"/>
    <n v="10"/>
  </r>
  <r>
    <x v="0"/>
    <n v="2"/>
    <x v="0"/>
    <x v="0"/>
    <x v="1"/>
    <n v="13"/>
    <n v="12"/>
    <n v="1.3273260000000002E-2"/>
    <n v="0.13273260000000001"/>
    <n v="6.3092522400000003E-2"/>
    <n v="0.63092522399999995"/>
    <n v="10"/>
  </r>
  <r>
    <x v="0"/>
    <n v="3"/>
    <x v="0"/>
    <x v="0"/>
    <x v="1"/>
    <n v="11"/>
    <n v="10"/>
    <n v="9.503339999999999E-3"/>
    <n v="9.503339999999999E-2"/>
    <n v="3.9693468799999992E-2"/>
    <n v="0.39693468799999992"/>
    <n v="10"/>
  </r>
  <r>
    <x v="0"/>
    <n v="4"/>
    <x v="0"/>
    <x v="0"/>
    <x v="1"/>
    <n v="13"/>
    <n v="11"/>
    <n v="1.3273260000000002E-2"/>
    <n v="0.13273260000000001"/>
    <n v="5.8258243599999995E-2"/>
    <n v="0.58258243599999993"/>
    <n v="10"/>
  </r>
  <r>
    <x v="0"/>
    <n v="5"/>
    <x v="0"/>
    <x v="0"/>
    <x v="0"/>
    <n v="26"/>
    <n v="18"/>
    <n v="5.3093040000000008E-2"/>
    <n v="0.53093040000000002"/>
    <n v="0.35314925039999995"/>
    <n v="3.5314925039999991"/>
    <n v="10"/>
  </r>
  <r>
    <x v="0"/>
    <n v="6"/>
    <x v="0"/>
    <x v="0"/>
    <x v="1"/>
    <n v="15"/>
    <n v="14"/>
    <n v="1.76715E-2"/>
    <n v="0.17671499999999998"/>
    <n v="9.5187556800000003E-2"/>
    <n v="0.95187556799999995"/>
    <n v="10"/>
  </r>
  <r>
    <x v="0"/>
    <n v="7"/>
    <x v="0"/>
    <x v="0"/>
    <x v="1"/>
    <n v="18"/>
    <n v="14"/>
    <n v="2.5446959999999998E-2"/>
    <n v="0.25446959999999996"/>
    <n v="0.13483436399999998"/>
    <n v="1.3483436399999997"/>
    <n v="10"/>
  </r>
  <r>
    <x v="0"/>
    <n v="8"/>
    <x v="0"/>
    <x v="0"/>
    <x v="1"/>
    <n v="11"/>
    <n v="8"/>
    <n v="9.503339999999999E-3"/>
    <n v="9.503339999999999E-2"/>
    <n v="3.2771010399999995E-2"/>
    <n v="0.32771010399999995"/>
    <n v="10"/>
  </r>
  <r>
    <x v="0"/>
    <n v="9"/>
    <x v="0"/>
    <x v="0"/>
    <x v="1"/>
    <n v="19"/>
    <n v="14"/>
    <n v="2.835294E-2"/>
    <n v="0.28352939999999999"/>
    <n v="0.14965185759999999"/>
    <n v="1.4965185759999999"/>
    <n v="10"/>
  </r>
  <r>
    <x v="0"/>
    <n v="10"/>
    <x v="0"/>
    <x v="0"/>
    <x v="1"/>
    <n v="14"/>
    <n v="8"/>
    <n v="1.5393840000000002E-2"/>
    <n v="0.1539384"/>
    <n v="4.9934130399999999E-2"/>
    <n v="0.49934130399999999"/>
    <n v="10"/>
  </r>
  <r>
    <x v="0"/>
    <n v="11"/>
    <x v="1"/>
    <x v="1"/>
    <x v="1"/>
    <n v="13.5"/>
    <n v="12"/>
    <n v="1.4313915000000002E-2"/>
    <n v="0.14313915000000002"/>
    <n v="0.210030579"/>
    <n v="2.1003057899999997"/>
    <n v="10"/>
  </r>
  <r>
    <x v="1"/>
    <n v="1"/>
    <x v="0"/>
    <x v="0"/>
    <x v="0"/>
    <n v="23"/>
    <n v="16"/>
    <n v="4.154766E-2"/>
    <n v="0.41547659999999997"/>
    <n v="0.24719558959999999"/>
    <n v="2.4719558959999999"/>
    <n v="10"/>
  </r>
  <r>
    <x v="1"/>
    <n v="2"/>
    <x v="0"/>
    <x v="0"/>
    <x v="1"/>
    <n v="16"/>
    <n v="15"/>
    <n v="2.0106240000000001E-2"/>
    <n v="0.2010624"/>
    <n v="0.1149251448"/>
    <n v="1.149251448"/>
    <n v="10"/>
  </r>
  <r>
    <x v="1"/>
    <n v="3"/>
    <x v="0"/>
    <x v="0"/>
    <x v="1"/>
    <n v="16"/>
    <n v="16"/>
    <n v="2.0106240000000001E-2"/>
    <n v="0.2010624"/>
    <n v="0.122248076"/>
    <n v="1.2224807599999998"/>
    <n v="10"/>
  </r>
  <r>
    <x v="1"/>
    <n v="4"/>
    <x v="0"/>
    <x v="0"/>
    <x v="0"/>
    <n v="22"/>
    <n v="17"/>
    <n v="3.8013359999999996E-2"/>
    <n v="0.38013359999999996"/>
    <n v="0.24044476239999998"/>
    <n v="2.4044476239999999"/>
    <n v="10"/>
  </r>
  <r>
    <x v="1"/>
    <n v="5"/>
    <x v="0"/>
    <x v="0"/>
    <x v="1"/>
    <n v="18"/>
    <n v="14"/>
    <n v="2.5446959999999998E-2"/>
    <n v="0.25446959999999996"/>
    <n v="0.13483436399999998"/>
    <n v="1.3483436399999997"/>
    <n v="10"/>
  </r>
  <r>
    <x v="1"/>
    <n v="6"/>
    <x v="0"/>
    <x v="0"/>
    <x v="1"/>
    <n v="15"/>
    <n v="12"/>
    <n v="1.76715E-2"/>
    <n v="0.17671499999999998"/>
    <n v="8.2315216799999993E-2"/>
    <n v="0.82315216799999991"/>
    <n v="10"/>
  </r>
  <r>
    <x v="1"/>
    <n v="7"/>
    <x v="0"/>
    <x v="0"/>
    <x v="1"/>
    <n v="14"/>
    <n v="10"/>
    <n v="1.5393840000000002E-2"/>
    <n v="0.1539384"/>
    <n v="6.114736879999999E-2"/>
    <n v="0.6114736879999999"/>
    <n v="10"/>
  </r>
  <r>
    <x v="1"/>
    <n v="8"/>
    <x v="2"/>
    <x v="2"/>
    <x v="1"/>
    <n v="12"/>
    <n v="7"/>
    <n v="1.130976E-2"/>
    <n v="0.11309759999999999"/>
    <n v="0.15520825799999999"/>
    <n v="1.5520825799999998"/>
    <n v="10"/>
  </r>
  <r>
    <x v="1"/>
    <n v="9"/>
    <x v="0"/>
    <x v="0"/>
    <x v="1"/>
    <n v="18"/>
    <n v="14"/>
    <n v="2.5446959999999998E-2"/>
    <n v="0.25446959999999996"/>
    <n v="0.13483436399999998"/>
    <n v="1.3483436399999997"/>
    <n v="10"/>
  </r>
  <r>
    <x v="1"/>
    <n v="10"/>
    <x v="0"/>
    <x v="0"/>
    <x v="1"/>
    <n v="16"/>
    <n v="12"/>
    <n v="2.0106240000000001E-2"/>
    <n v="0.2010624"/>
    <n v="9.2956351199999995E-2"/>
    <n v="0.92956351199999987"/>
    <n v="10"/>
  </r>
  <r>
    <x v="1"/>
    <n v="11"/>
    <x v="0"/>
    <x v="0"/>
    <x v="0"/>
    <n v="19"/>
    <n v="16"/>
    <n v="2.835294E-2"/>
    <n v="0.28352939999999999"/>
    <n v="0.170304812"/>
    <n v="1.7030481199999998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12"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1"/>
        <item m="1" x="3"/>
        <item m="1" x="4"/>
        <item x="2"/>
        <item x="0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</pivotFields>
  <rowFields count="2">
    <field x="3"/>
    <field x="2"/>
  </rowFields>
  <rowItems count="7">
    <i>
      <x/>
    </i>
    <i r="1">
      <x v="1"/>
    </i>
    <i>
      <x v="3"/>
    </i>
    <i r="1">
      <x v="2"/>
    </i>
    <i>
      <x v="4"/>
    </i>
    <i r="1">
      <x/>
    </i>
    <i t="grand">
      <x/>
    </i>
  </rowItems>
  <colItems count="1">
    <i/>
  </colItems>
  <dataFields count="1">
    <dataField name="Cuenta de No. Arbol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3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F8" firstHeaderRow="1" firstDataRow="2" firstDataCol="1"/>
  <pivotFields count="12">
    <pivotField showAll="0"/>
    <pivotField showAll="0"/>
    <pivotField showAll="0"/>
    <pivotField axis="axisRow" showAll="0">
      <items count="6">
        <item x="1"/>
        <item m="1" x="3"/>
        <item m="1" x="4"/>
        <item x="2"/>
        <item x="0"/>
        <item t="default"/>
      </items>
    </pivotField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3"/>
  </rowFields>
  <rowItems count="4">
    <i>
      <x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3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No. De Parcela">
  <location ref="A3:F7" firstHeaderRow="1" firstDataRow="2" firstDataCol="1"/>
  <pivotFields count="12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1"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4" cacheId="3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Especie y Clase Diametrica">
  <location ref="A3:F12" firstHeaderRow="1" firstDataRow="2" firstDataCol="1"/>
  <pivotFields count="12">
    <pivotField showAll="0"/>
    <pivotField showAll="0"/>
    <pivotField showAll="0"/>
    <pivotField axis="axisRow" showAll="0">
      <items count="6">
        <item x="1"/>
        <item m="1" x="3"/>
        <item m="1" x="4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2">
    <field x="3"/>
    <field x="4"/>
  </rowFields>
  <rowItems count="8">
    <i>
      <x/>
    </i>
    <i r="1">
      <x/>
    </i>
    <i>
      <x v="3"/>
    </i>
    <i r="1">
      <x/>
    </i>
    <i>
      <x v="4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17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4">
      <pivotArea field="3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">
      <pivotArea field="3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field="3" grandRow="1" outline="0" collapsedLevelsAreSubtotals="1" axis="axisRow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zoomScale="78" zoomScaleNormal="78" workbookViewId="0">
      <selection activeCell="O5" sqref="O5"/>
    </sheetView>
  </sheetViews>
  <sheetFormatPr baseColWidth="10" defaultRowHeight="15" x14ac:dyDescent="0.25"/>
  <cols>
    <col min="1" max="1" width="9.140625" customWidth="1"/>
    <col min="2" max="2" width="9.5703125" customWidth="1"/>
    <col min="3" max="3" width="13" style="76" customWidth="1"/>
    <col min="4" max="4" width="24.140625" style="79" customWidth="1"/>
  </cols>
  <sheetData>
    <row r="1" spans="1:16" ht="24" x14ac:dyDescent="0.25">
      <c r="A1" s="2" t="s">
        <v>0</v>
      </c>
      <c r="B1" s="2" t="s">
        <v>1</v>
      </c>
      <c r="C1" s="8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4" t="s">
        <v>68</v>
      </c>
    </row>
    <row r="2" spans="1:16" x14ac:dyDescent="0.25">
      <c r="A2" s="60">
        <v>1</v>
      </c>
      <c r="B2" s="60">
        <v>1</v>
      </c>
      <c r="C2" s="73" t="s">
        <v>58</v>
      </c>
      <c r="D2" s="77" t="s">
        <v>67</v>
      </c>
      <c r="E2" s="60" t="s">
        <v>53</v>
      </c>
      <c r="F2" s="60">
        <v>23</v>
      </c>
      <c r="G2" s="60">
        <v>19</v>
      </c>
      <c r="H2" s="61">
        <f>0.7854*(F2/100)^2</f>
        <v>4.154766E-2</v>
      </c>
      <c r="I2" s="62">
        <f>H2*1/0.1</f>
        <v>0.41547659999999997</v>
      </c>
      <c r="J2" s="61">
        <f>(0.0050811768+0.0000286052*(F2^2*G2))</f>
        <v>0.29259204199999994</v>
      </c>
      <c r="K2" s="62">
        <f>J2/0.1</f>
        <v>2.9259204199999993</v>
      </c>
      <c r="L2" s="62">
        <f>1*1/0.1</f>
        <v>10</v>
      </c>
      <c r="M2" s="63">
        <v>0.77900000000000003</v>
      </c>
      <c r="N2" s="67" t="s">
        <v>56</v>
      </c>
      <c r="O2" s="55" t="s">
        <v>55</v>
      </c>
    </row>
    <row r="3" spans="1:16" x14ac:dyDescent="0.25">
      <c r="A3" s="60">
        <v>1</v>
      </c>
      <c r="B3" s="60">
        <v>2</v>
      </c>
      <c r="C3" s="73" t="s">
        <v>58</v>
      </c>
      <c r="D3" s="77" t="s">
        <v>67</v>
      </c>
      <c r="E3" s="60" t="s">
        <v>52</v>
      </c>
      <c r="F3" s="60">
        <v>13</v>
      </c>
      <c r="G3" s="60">
        <v>12</v>
      </c>
      <c r="H3" s="61">
        <f>0.7854*(F3/100)^2</f>
        <v>1.3273260000000002E-2</v>
      </c>
      <c r="I3" s="62">
        <f t="shared" ref="I3:I23" si="0">H3*1/0.1</f>
        <v>0.13273260000000001</v>
      </c>
      <c r="J3" s="61">
        <f t="shared" ref="J3:J11" si="1">(0.0050811768+0.0000286052*(F3^2*G3))</f>
        <v>6.3092522400000003E-2</v>
      </c>
      <c r="K3" s="62">
        <f t="shared" ref="K3:K23" si="2">J3/0.1</f>
        <v>0.63092522399999995</v>
      </c>
      <c r="L3" s="62">
        <f t="shared" ref="L3:L23" si="3">1*1/0.1</f>
        <v>10</v>
      </c>
      <c r="M3" s="63">
        <v>0.77900000000000003</v>
      </c>
      <c r="N3" s="68">
        <v>500</v>
      </c>
      <c r="O3" s="56">
        <f>N3/10000</f>
        <v>0.05</v>
      </c>
    </row>
    <row r="4" spans="1:16" x14ac:dyDescent="0.25">
      <c r="A4" s="60">
        <v>1</v>
      </c>
      <c r="B4" s="60">
        <v>3</v>
      </c>
      <c r="C4" s="73" t="s">
        <v>58</v>
      </c>
      <c r="D4" s="77" t="s">
        <v>67</v>
      </c>
      <c r="E4" s="60" t="s">
        <v>52</v>
      </c>
      <c r="F4" s="60">
        <v>11</v>
      </c>
      <c r="G4" s="60">
        <v>10</v>
      </c>
      <c r="H4" s="61">
        <f t="shared" ref="H4:H20" si="4">0.7854*(F4/100)^2</f>
        <v>9.503339999999999E-3</v>
      </c>
      <c r="I4" s="62">
        <f t="shared" si="0"/>
        <v>9.503339999999999E-2</v>
      </c>
      <c r="J4" s="61">
        <f t="shared" si="1"/>
        <v>3.9693468799999992E-2</v>
      </c>
      <c r="K4" s="62">
        <f t="shared" si="2"/>
        <v>0.39693468799999992</v>
      </c>
      <c r="L4" s="62">
        <f t="shared" si="3"/>
        <v>10</v>
      </c>
      <c r="M4" s="63">
        <v>0.77900000000000003</v>
      </c>
      <c r="N4" s="63"/>
    </row>
    <row r="5" spans="1:16" x14ac:dyDescent="0.25">
      <c r="A5" s="60">
        <v>1</v>
      </c>
      <c r="B5" s="60">
        <v>4</v>
      </c>
      <c r="C5" s="73" t="s">
        <v>58</v>
      </c>
      <c r="D5" s="77" t="s">
        <v>67</v>
      </c>
      <c r="E5" s="60" t="s">
        <v>52</v>
      </c>
      <c r="F5" s="60">
        <v>13</v>
      </c>
      <c r="G5" s="60">
        <v>11</v>
      </c>
      <c r="H5" s="61">
        <f t="shared" si="4"/>
        <v>1.3273260000000002E-2</v>
      </c>
      <c r="I5" s="62">
        <f t="shared" si="0"/>
        <v>0.13273260000000001</v>
      </c>
      <c r="J5" s="61">
        <f t="shared" si="1"/>
        <v>5.8258243599999995E-2</v>
      </c>
      <c r="K5" s="62">
        <f t="shared" si="2"/>
        <v>0.58258243599999993</v>
      </c>
      <c r="L5" s="62">
        <f t="shared" si="3"/>
        <v>10</v>
      </c>
      <c r="M5" s="63">
        <v>0.77900000000000003</v>
      </c>
      <c r="N5" s="60"/>
    </row>
    <row r="6" spans="1:16" x14ac:dyDescent="0.25">
      <c r="A6" s="60">
        <v>1</v>
      </c>
      <c r="B6" s="60">
        <v>5</v>
      </c>
      <c r="C6" s="73" t="s">
        <v>58</v>
      </c>
      <c r="D6" s="77" t="s">
        <v>67</v>
      </c>
      <c r="E6" s="60" t="s">
        <v>53</v>
      </c>
      <c r="F6" s="60">
        <v>26</v>
      </c>
      <c r="G6" s="60">
        <v>18</v>
      </c>
      <c r="H6" s="61">
        <f t="shared" si="4"/>
        <v>5.3093040000000008E-2</v>
      </c>
      <c r="I6" s="62">
        <f t="shared" si="0"/>
        <v>0.53093040000000002</v>
      </c>
      <c r="J6" s="61">
        <f t="shared" si="1"/>
        <v>0.35314925039999995</v>
      </c>
      <c r="K6" s="62">
        <f t="shared" si="2"/>
        <v>3.5314925039999991</v>
      </c>
      <c r="L6" s="62">
        <f t="shared" si="3"/>
        <v>10</v>
      </c>
      <c r="M6" s="63">
        <v>0.77900000000000003</v>
      </c>
      <c r="N6" s="60"/>
    </row>
    <row r="7" spans="1:16" x14ac:dyDescent="0.25">
      <c r="A7" s="60">
        <v>1</v>
      </c>
      <c r="B7" s="60">
        <v>6</v>
      </c>
      <c r="C7" s="73" t="s">
        <v>58</v>
      </c>
      <c r="D7" s="77" t="s">
        <v>67</v>
      </c>
      <c r="E7" s="60" t="s">
        <v>52</v>
      </c>
      <c r="F7" s="60">
        <v>15</v>
      </c>
      <c r="G7" s="60">
        <v>14</v>
      </c>
      <c r="H7" s="61">
        <f t="shared" si="4"/>
        <v>1.76715E-2</v>
      </c>
      <c r="I7" s="62">
        <f t="shared" si="0"/>
        <v>0.17671499999999998</v>
      </c>
      <c r="J7" s="61">
        <f t="shared" si="1"/>
        <v>9.5187556800000003E-2</v>
      </c>
      <c r="K7" s="62">
        <f t="shared" si="2"/>
        <v>0.95187556799999995</v>
      </c>
      <c r="L7" s="62">
        <f t="shared" si="3"/>
        <v>10</v>
      </c>
      <c r="M7" s="63">
        <v>0.77900000000000003</v>
      </c>
      <c r="N7" s="60"/>
    </row>
    <row r="8" spans="1:16" x14ac:dyDescent="0.25">
      <c r="A8" s="60">
        <v>1</v>
      </c>
      <c r="B8" s="60">
        <v>7</v>
      </c>
      <c r="C8" s="73" t="s">
        <v>58</v>
      </c>
      <c r="D8" s="77" t="s">
        <v>67</v>
      </c>
      <c r="E8" s="60" t="s">
        <v>52</v>
      </c>
      <c r="F8" s="60">
        <v>18</v>
      </c>
      <c r="G8" s="60">
        <v>14</v>
      </c>
      <c r="H8" s="61">
        <f t="shared" si="4"/>
        <v>2.5446959999999998E-2</v>
      </c>
      <c r="I8" s="62">
        <f t="shared" si="0"/>
        <v>0.25446959999999996</v>
      </c>
      <c r="J8" s="61">
        <f t="shared" si="1"/>
        <v>0.13483436399999998</v>
      </c>
      <c r="K8" s="62">
        <f t="shared" si="2"/>
        <v>1.3483436399999997</v>
      </c>
      <c r="L8" s="62">
        <f t="shared" si="3"/>
        <v>10</v>
      </c>
      <c r="M8" s="63">
        <v>0.77900000000000003</v>
      </c>
      <c r="N8" s="63" t="s">
        <v>60</v>
      </c>
      <c r="O8" s="1"/>
      <c r="P8" s="1" t="s">
        <v>63</v>
      </c>
    </row>
    <row r="9" spans="1:16" x14ac:dyDescent="0.25">
      <c r="A9" s="60">
        <v>1</v>
      </c>
      <c r="B9" s="60">
        <v>8</v>
      </c>
      <c r="C9" s="73" t="s">
        <v>58</v>
      </c>
      <c r="D9" s="77" t="s">
        <v>67</v>
      </c>
      <c r="E9" s="60" t="s">
        <v>52</v>
      </c>
      <c r="F9" s="60">
        <v>11</v>
      </c>
      <c r="G9" s="60">
        <v>8</v>
      </c>
      <c r="H9" s="61">
        <f t="shared" si="4"/>
        <v>9.503339999999999E-3</v>
      </c>
      <c r="I9" s="62">
        <f t="shared" si="0"/>
        <v>9.503339999999999E-2</v>
      </c>
      <c r="J9" s="61">
        <f t="shared" si="1"/>
        <v>3.2771010399999995E-2</v>
      </c>
      <c r="K9" s="62">
        <f t="shared" si="2"/>
        <v>0.32771010399999995</v>
      </c>
      <c r="L9" s="62">
        <f t="shared" si="3"/>
        <v>10</v>
      </c>
      <c r="M9" s="63">
        <v>0.77900000000000003</v>
      </c>
      <c r="N9" s="63" t="s">
        <v>61</v>
      </c>
      <c r="P9" s="1" t="s">
        <v>62</v>
      </c>
    </row>
    <row r="10" spans="1:16" x14ac:dyDescent="0.25">
      <c r="A10" s="60">
        <v>1</v>
      </c>
      <c r="B10" s="60">
        <v>9</v>
      </c>
      <c r="C10" s="73" t="s">
        <v>58</v>
      </c>
      <c r="D10" s="77" t="s">
        <v>67</v>
      </c>
      <c r="E10" s="60" t="s">
        <v>52</v>
      </c>
      <c r="F10" s="60">
        <v>19</v>
      </c>
      <c r="G10" s="60">
        <v>14</v>
      </c>
      <c r="H10" s="61">
        <f t="shared" si="4"/>
        <v>2.835294E-2</v>
      </c>
      <c r="I10" s="62">
        <f t="shared" si="0"/>
        <v>0.28352939999999999</v>
      </c>
      <c r="J10" s="61">
        <f t="shared" si="1"/>
        <v>0.14965185759999999</v>
      </c>
      <c r="K10" s="62">
        <f t="shared" si="2"/>
        <v>1.4965185759999999</v>
      </c>
      <c r="L10" s="62">
        <f t="shared" si="3"/>
        <v>10</v>
      </c>
      <c r="M10" s="63">
        <v>0.77900000000000003</v>
      </c>
      <c r="N10" s="63" t="s">
        <v>64</v>
      </c>
      <c r="P10" s="1" t="s">
        <v>65</v>
      </c>
    </row>
    <row r="11" spans="1:16" x14ac:dyDescent="0.25">
      <c r="A11" s="60">
        <v>1</v>
      </c>
      <c r="B11" s="60">
        <v>10</v>
      </c>
      <c r="C11" s="73" t="s">
        <v>58</v>
      </c>
      <c r="D11" s="77" t="s">
        <v>67</v>
      </c>
      <c r="E11" s="60" t="s">
        <v>52</v>
      </c>
      <c r="F11" s="60">
        <v>14</v>
      </c>
      <c r="G11" s="60">
        <v>8</v>
      </c>
      <c r="H11" s="61">
        <f t="shared" si="4"/>
        <v>1.5393840000000002E-2</v>
      </c>
      <c r="I11" s="62">
        <f t="shared" si="0"/>
        <v>0.1539384</v>
      </c>
      <c r="J11" s="61">
        <f t="shared" si="1"/>
        <v>4.9934130399999999E-2</v>
      </c>
      <c r="K11" s="62">
        <f t="shared" si="2"/>
        <v>0.49934130399999999</v>
      </c>
      <c r="L11" s="62">
        <f t="shared" si="3"/>
        <v>10</v>
      </c>
      <c r="M11" s="63">
        <v>0.77900000000000003</v>
      </c>
      <c r="N11" s="63"/>
    </row>
    <row r="12" spans="1:16" x14ac:dyDescent="0.25">
      <c r="A12" s="60">
        <v>1</v>
      </c>
      <c r="B12" s="60">
        <v>11</v>
      </c>
      <c r="C12" s="73" t="s">
        <v>59</v>
      </c>
      <c r="D12" s="77" t="s">
        <v>54</v>
      </c>
      <c r="E12" s="60" t="s">
        <v>52</v>
      </c>
      <c r="F12" s="60">
        <v>13.5</v>
      </c>
      <c r="G12" s="60">
        <v>12</v>
      </c>
      <c r="H12" s="61">
        <f t="shared" si="4"/>
        <v>1.4313915000000002E-2</v>
      </c>
      <c r="I12" s="62">
        <f t="shared" si="0"/>
        <v>0.14313915000000002</v>
      </c>
      <c r="J12" s="61">
        <f>(0.108337266+0.000046499*(F12^2*G12))</f>
        <v>0.210030579</v>
      </c>
      <c r="K12" s="62">
        <f t="shared" si="2"/>
        <v>2.1003057899999997</v>
      </c>
      <c r="L12" s="62">
        <f t="shared" si="3"/>
        <v>10</v>
      </c>
      <c r="M12" s="63">
        <v>0.77900000000000003</v>
      </c>
      <c r="N12" s="69"/>
      <c r="O12" s="58"/>
    </row>
    <row r="13" spans="1:16" x14ac:dyDescent="0.25">
      <c r="A13" s="60">
        <v>2</v>
      </c>
      <c r="B13" s="60">
        <v>1</v>
      </c>
      <c r="C13" s="73" t="s">
        <v>58</v>
      </c>
      <c r="D13" s="77" t="s">
        <v>67</v>
      </c>
      <c r="E13" s="60" t="s">
        <v>53</v>
      </c>
      <c r="F13" s="60">
        <v>23</v>
      </c>
      <c r="G13" s="60">
        <v>16</v>
      </c>
      <c r="H13" s="61">
        <f t="shared" si="4"/>
        <v>4.154766E-2</v>
      </c>
      <c r="I13" s="62">
        <f t="shared" si="0"/>
        <v>0.41547659999999997</v>
      </c>
      <c r="J13" s="61">
        <f t="shared" ref="J13:J18" si="5">(0.0050811768+0.0000286052*(F13^2*G13))</f>
        <v>0.24719558959999999</v>
      </c>
      <c r="K13" s="62">
        <f t="shared" si="2"/>
        <v>2.4719558959999999</v>
      </c>
      <c r="L13" s="62">
        <f t="shared" si="3"/>
        <v>10</v>
      </c>
      <c r="M13" s="63">
        <v>0.77900000000000003</v>
      </c>
      <c r="N13" s="66"/>
      <c r="O13" s="58"/>
    </row>
    <row r="14" spans="1:16" x14ac:dyDescent="0.25">
      <c r="A14" s="60">
        <v>2</v>
      </c>
      <c r="B14" s="60">
        <v>2</v>
      </c>
      <c r="C14" s="73" t="s">
        <v>58</v>
      </c>
      <c r="D14" s="77" t="s">
        <v>67</v>
      </c>
      <c r="E14" s="60" t="s">
        <v>52</v>
      </c>
      <c r="F14" s="60">
        <v>16</v>
      </c>
      <c r="G14" s="60">
        <v>15</v>
      </c>
      <c r="H14" s="61">
        <f t="shared" si="4"/>
        <v>2.0106240000000001E-2</v>
      </c>
      <c r="I14" s="62">
        <f t="shared" si="0"/>
        <v>0.2010624</v>
      </c>
      <c r="J14" s="61">
        <f t="shared" si="5"/>
        <v>0.1149251448</v>
      </c>
      <c r="K14" s="62">
        <f t="shared" si="2"/>
        <v>1.149251448</v>
      </c>
      <c r="L14" s="62">
        <f t="shared" si="3"/>
        <v>10</v>
      </c>
      <c r="M14" s="63">
        <v>0.77900000000000003</v>
      </c>
      <c r="N14" s="69"/>
      <c r="O14" s="58"/>
    </row>
    <row r="15" spans="1:16" x14ac:dyDescent="0.25">
      <c r="A15" s="60">
        <v>2</v>
      </c>
      <c r="B15" s="60">
        <v>3</v>
      </c>
      <c r="C15" s="73" t="s">
        <v>58</v>
      </c>
      <c r="D15" s="77" t="s">
        <v>67</v>
      </c>
      <c r="E15" s="60" t="s">
        <v>52</v>
      </c>
      <c r="F15" s="60">
        <v>16</v>
      </c>
      <c r="G15" s="60">
        <v>16</v>
      </c>
      <c r="H15" s="61">
        <f t="shared" si="4"/>
        <v>2.0106240000000001E-2</v>
      </c>
      <c r="I15" s="62">
        <f t="shared" si="0"/>
        <v>0.2010624</v>
      </c>
      <c r="J15" s="61">
        <f t="shared" si="5"/>
        <v>0.122248076</v>
      </c>
      <c r="K15" s="62">
        <f t="shared" si="2"/>
        <v>1.2224807599999998</v>
      </c>
      <c r="L15" s="62">
        <f t="shared" si="3"/>
        <v>10</v>
      </c>
      <c r="M15" s="63">
        <v>0.77900000000000003</v>
      </c>
      <c r="N15" s="66"/>
      <c r="O15" s="58"/>
    </row>
    <row r="16" spans="1:16" x14ac:dyDescent="0.25">
      <c r="A16" s="60">
        <v>2</v>
      </c>
      <c r="B16" s="60">
        <v>4</v>
      </c>
      <c r="C16" s="73" t="s">
        <v>58</v>
      </c>
      <c r="D16" s="77" t="s">
        <v>67</v>
      </c>
      <c r="E16" s="60" t="s">
        <v>53</v>
      </c>
      <c r="F16" s="60">
        <v>22</v>
      </c>
      <c r="G16" s="60">
        <v>17</v>
      </c>
      <c r="H16" s="61">
        <f t="shared" si="4"/>
        <v>3.8013359999999996E-2</v>
      </c>
      <c r="I16" s="62">
        <f t="shared" si="0"/>
        <v>0.38013359999999996</v>
      </c>
      <c r="J16" s="61">
        <f t="shared" si="5"/>
        <v>0.24044476239999998</v>
      </c>
      <c r="K16" s="62">
        <f t="shared" si="2"/>
        <v>2.4044476239999999</v>
      </c>
      <c r="L16" s="62">
        <f t="shared" si="3"/>
        <v>10</v>
      </c>
      <c r="M16" s="63">
        <v>0.77900000000000003</v>
      </c>
      <c r="N16" s="66"/>
      <c r="O16" s="58"/>
    </row>
    <row r="17" spans="1:15" x14ac:dyDescent="0.25">
      <c r="A17" s="60">
        <v>2</v>
      </c>
      <c r="B17" s="60">
        <v>5</v>
      </c>
      <c r="C17" s="73" t="s">
        <v>58</v>
      </c>
      <c r="D17" s="77" t="s">
        <v>67</v>
      </c>
      <c r="E17" s="60" t="s">
        <v>52</v>
      </c>
      <c r="F17" s="60">
        <v>18</v>
      </c>
      <c r="G17" s="60">
        <v>14</v>
      </c>
      <c r="H17" s="61">
        <f t="shared" si="4"/>
        <v>2.5446959999999998E-2</v>
      </c>
      <c r="I17" s="62">
        <f t="shared" si="0"/>
        <v>0.25446959999999996</v>
      </c>
      <c r="J17" s="61">
        <f t="shared" si="5"/>
        <v>0.13483436399999998</v>
      </c>
      <c r="K17" s="62">
        <f t="shared" si="2"/>
        <v>1.3483436399999997</v>
      </c>
      <c r="L17" s="62">
        <f t="shared" si="3"/>
        <v>10</v>
      </c>
      <c r="M17" s="63">
        <v>0.77900000000000003</v>
      </c>
      <c r="N17" s="66"/>
      <c r="O17" s="58"/>
    </row>
    <row r="18" spans="1:15" x14ac:dyDescent="0.25">
      <c r="A18" s="60">
        <v>2</v>
      </c>
      <c r="B18" s="60">
        <v>6</v>
      </c>
      <c r="C18" s="73" t="s">
        <v>58</v>
      </c>
      <c r="D18" s="77" t="s">
        <v>67</v>
      </c>
      <c r="E18" s="60" t="s">
        <v>52</v>
      </c>
      <c r="F18" s="60">
        <v>15</v>
      </c>
      <c r="G18" s="60">
        <v>12</v>
      </c>
      <c r="H18" s="61">
        <f t="shared" si="4"/>
        <v>1.76715E-2</v>
      </c>
      <c r="I18" s="62">
        <f t="shared" si="0"/>
        <v>0.17671499999999998</v>
      </c>
      <c r="J18" s="61">
        <f t="shared" si="5"/>
        <v>8.2315216799999993E-2</v>
      </c>
      <c r="K18" s="62">
        <f t="shared" si="2"/>
        <v>0.82315216799999991</v>
      </c>
      <c r="L18" s="62">
        <f t="shared" si="3"/>
        <v>10</v>
      </c>
      <c r="M18" s="63">
        <v>0.77900000000000003</v>
      </c>
      <c r="N18" s="66"/>
      <c r="O18" s="58"/>
    </row>
    <row r="19" spans="1:15" x14ac:dyDescent="0.25">
      <c r="A19" s="60">
        <v>2</v>
      </c>
      <c r="B19" s="60">
        <v>7</v>
      </c>
      <c r="C19" s="73" t="s">
        <v>58</v>
      </c>
      <c r="D19" s="77" t="s">
        <v>67</v>
      </c>
      <c r="E19" s="60" t="s">
        <v>52</v>
      </c>
      <c r="F19" s="60">
        <v>14</v>
      </c>
      <c r="G19" s="60">
        <v>10</v>
      </c>
      <c r="H19" s="61">
        <f t="shared" si="4"/>
        <v>1.5393840000000002E-2</v>
      </c>
      <c r="I19" s="62">
        <f t="shared" si="0"/>
        <v>0.1539384</v>
      </c>
      <c r="J19" s="61">
        <f t="shared" ref="J19" si="6">(0.0050811768+0.0000286052*(F19^2*G19))</f>
        <v>6.114736879999999E-2</v>
      </c>
      <c r="K19" s="62">
        <f t="shared" si="2"/>
        <v>0.6114736879999999</v>
      </c>
      <c r="L19" s="62">
        <f t="shared" si="3"/>
        <v>10</v>
      </c>
      <c r="M19" s="63">
        <v>0.77900000000000003</v>
      </c>
      <c r="N19" s="60"/>
      <c r="O19" s="57"/>
    </row>
    <row r="20" spans="1:15" x14ac:dyDescent="0.25">
      <c r="A20" s="60">
        <v>2</v>
      </c>
      <c r="B20" s="60">
        <v>8</v>
      </c>
      <c r="C20" s="73" t="s">
        <v>57</v>
      </c>
      <c r="D20" s="70" t="s">
        <v>66</v>
      </c>
      <c r="E20" s="60" t="s">
        <v>52</v>
      </c>
      <c r="F20" s="60">
        <v>12</v>
      </c>
      <c r="G20" s="60">
        <v>7</v>
      </c>
      <c r="H20" s="61">
        <f t="shared" si="4"/>
        <v>1.130976E-2</v>
      </c>
      <c r="I20" s="62">
        <f t="shared" si="0"/>
        <v>0.11309759999999999</v>
      </c>
      <c r="J20" s="61">
        <f>(0.108337266+0.000046499*(F20^2*G20))</f>
        <v>0.15520825799999999</v>
      </c>
      <c r="K20" s="62">
        <f t="shared" si="2"/>
        <v>1.5520825799999998</v>
      </c>
      <c r="L20" s="62">
        <f t="shared" si="3"/>
        <v>10</v>
      </c>
      <c r="M20" s="63">
        <v>0.77900000000000003</v>
      </c>
      <c r="N20" s="60"/>
      <c r="O20" s="57"/>
    </row>
    <row r="21" spans="1:15" x14ac:dyDescent="0.25">
      <c r="A21" s="60">
        <v>2</v>
      </c>
      <c r="B21" s="60">
        <v>9</v>
      </c>
      <c r="C21" s="73" t="s">
        <v>58</v>
      </c>
      <c r="D21" s="77" t="s">
        <v>67</v>
      </c>
      <c r="E21" s="60" t="s">
        <v>52</v>
      </c>
      <c r="F21" s="60">
        <v>18</v>
      </c>
      <c r="G21" s="60">
        <v>14</v>
      </c>
      <c r="H21" s="61">
        <f t="shared" ref="H21:H23" si="7">0.7854*(F21/100)^2</f>
        <v>2.5446959999999998E-2</v>
      </c>
      <c r="I21" s="62">
        <f t="shared" si="0"/>
        <v>0.25446959999999996</v>
      </c>
      <c r="J21" s="61">
        <f t="shared" ref="J21:J23" si="8">(0.0050811768+0.0000286052*(F21^2*G21))</f>
        <v>0.13483436399999998</v>
      </c>
      <c r="K21" s="62">
        <f t="shared" si="2"/>
        <v>1.3483436399999997</v>
      </c>
      <c r="L21" s="62">
        <f t="shared" si="3"/>
        <v>10</v>
      </c>
      <c r="M21" s="63">
        <v>0.77900000000000003</v>
      </c>
      <c r="N21" s="63"/>
    </row>
    <row r="22" spans="1:15" x14ac:dyDescent="0.25">
      <c r="A22" s="60">
        <v>2</v>
      </c>
      <c r="B22" s="60">
        <v>10</v>
      </c>
      <c r="C22" s="73" t="s">
        <v>58</v>
      </c>
      <c r="D22" s="77" t="s">
        <v>67</v>
      </c>
      <c r="E22" s="60" t="s">
        <v>52</v>
      </c>
      <c r="F22" s="60">
        <v>16</v>
      </c>
      <c r="G22" s="60">
        <v>12</v>
      </c>
      <c r="H22" s="61">
        <f t="shared" si="7"/>
        <v>2.0106240000000001E-2</v>
      </c>
      <c r="I22" s="62">
        <f t="shared" si="0"/>
        <v>0.2010624</v>
      </c>
      <c r="J22" s="61">
        <f t="shared" si="8"/>
        <v>9.2956351199999995E-2</v>
      </c>
      <c r="K22" s="62">
        <f t="shared" si="2"/>
        <v>0.92956351199999987</v>
      </c>
      <c r="L22" s="62">
        <f t="shared" si="3"/>
        <v>10</v>
      </c>
      <c r="M22" s="63">
        <v>0.77900000000000003</v>
      </c>
      <c r="N22" s="63"/>
    </row>
    <row r="23" spans="1:15" x14ac:dyDescent="0.25">
      <c r="A23" s="64">
        <v>2</v>
      </c>
      <c r="B23" s="60">
        <v>11</v>
      </c>
      <c r="C23" s="73" t="s">
        <v>58</v>
      </c>
      <c r="D23" s="77" t="s">
        <v>67</v>
      </c>
      <c r="E23" s="60" t="s">
        <v>53</v>
      </c>
      <c r="F23" s="60">
        <v>19</v>
      </c>
      <c r="G23" s="60">
        <v>16</v>
      </c>
      <c r="H23" s="61">
        <f t="shared" si="7"/>
        <v>2.835294E-2</v>
      </c>
      <c r="I23" s="62">
        <f t="shared" si="0"/>
        <v>0.28352939999999999</v>
      </c>
      <c r="J23" s="61">
        <f t="shared" si="8"/>
        <v>0.170304812</v>
      </c>
      <c r="K23" s="62">
        <f t="shared" si="2"/>
        <v>1.7030481199999998</v>
      </c>
      <c r="L23" s="62">
        <f t="shared" si="3"/>
        <v>10</v>
      </c>
      <c r="M23" s="63">
        <v>0.77900000000000003</v>
      </c>
      <c r="N23" s="63"/>
    </row>
    <row r="24" spans="1:15" x14ac:dyDescent="0.25">
      <c r="A24" s="64"/>
      <c r="B24" s="64"/>
      <c r="C24" s="74"/>
      <c r="D24" s="77"/>
      <c r="E24" s="64"/>
      <c r="F24" s="65"/>
      <c r="G24" s="65"/>
      <c r="H24" s="63"/>
      <c r="I24" s="63"/>
      <c r="J24" s="63"/>
      <c r="K24" s="63"/>
      <c r="L24" s="63"/>
      <c r="M24" s="63"/>
      <c r="N24" s="63"/>
    </row>
    <row r="25" spans="1:15" x14ac:dyDescent="0.25">
      <c r="A25" s="64"/>
      <c r="B25" s="64"/>
      <c r="C25" s="74"/>
      <c r="D25" s="77"/>
      <c r="E25" s="64"/>
      <c r="F25" s="65"/>
      <c r="G25" s="65"/>
      <c r="H25" s="63"/>
      <c r="I25" s="63"/>
      <c r="J25" s="63"/>
      <c r="K25" s="63"/>
      <c r="L25" s="63"/>
      <c r="M25" s="63"/>
      <c r="N25" s="63"/>
    </row>
    <row r="26" spans="1:15" x14ac:dyDescent="0.25">
      <c r="A26" s="64"/>
      <c r="B26" s="64"/>
      <c r="C26" s="74"/>
      <c r="D26" s="77"/>
      <c r="E26" s="64"/>
      <c r="F26" s="65"/>
      <c r="G26" s="65"/>
      <c r="H26" s="63"/>
      <c r="I26" s="63"/>
      <c r="J26" s="63"/>
      <c r="K26" s="63"/>
      <c r="L26" s="63"/>
      <c r="M26" s="63"/>
      <c r="N26" s="63"/>
    </row>
    <row r="27" spans="1:15" x14ac:dyDescent="0.25">
      <c r="A27" s="64"/>
      <c r="B27" s="64"/>
      <c r="C27" s="74"/>
      <c r="D27" s="77"/>
      <c r="E27" s="64"/>
      <c r="F27" s="65"/>
      <c r="G27" s="65"/>
      <c r="H27" s="63"/>
      <c r="I27" s="63"/>
      <c r="J27" s="63"/>
      <c r="K27" s="63"/>
      <c r="L27" s="63"/>
      <c r="M27" s="63"/>
      <c r="N27" s="63"/>
    </row>
    <row r="28" spans="1:15" x14ac:dyDescent="0.25">
      <c r="A28" s="64"/>
      <c r="B28" s="64"/>
      <c r="C28" s="74"/>
      <c r="D28" s="77"/>
      <c r="E28" s="64"/>
      <c r="F28" s="65"/>
      <c r="G28" s="65"/>
      <c r="H28" s="63"/>
      <c r="I28" s="63"/>
      <c r="J28" s="63"/>
      <c r="K28" s="63"/>
      <c r="L28" s="63"/>
      <c r="M28" s="63"/>
      <c r="N28" s="63"/>
    </row>
    <row r="29" spans="1:15" x14ac:dyDescent="0.25">
      <c r="A29" s="64"/>
      <c r="B29" s="64"/>
      <c r="C29" s="74"/>
      <c r="D29" s="77"/>
      <c r="E29" s="64"/>
      <c r="F29" s="65"/>
      <c r="G29" s="65"/>
      <c r="H29" s="63"/>
      <c r="I29" s="63"/>
      <c r="J29" s="63"/>
      <c r="K29" s="63"/>
      <c r="L29" s="63"/>
      <c r="M29" s="63"/>
      <c r="N29" s="63"/>
    </row>
    <row r="30" spans="1:15" x14ac:dyDescent="0.25">
      <c r="A30" s="64"/>
      <c r="B30" s="64"/>
      <c r="C30" s="74"/>
      <c r="D30" s="77"/>
      <c r="E30" s="64"/>
      <c r="F30" s="65"/>
      <c r="G30" s="65"/>
      <c r="H30" s="63"/>
      <c r="I30" s="63"/>
      <c r="J30" s="63"/>
      <c r="K30" s="63"/>
      <c r="L30" s="63"/>
      <c r="M30" s="63"/>
      <c r="N30" s="63"/>
    </row>
    <row r="31" spans="1:15" x14ac:dyDescent="0.25">
      <c r="A31" s="64"/>
      <c r="B31" s="64"/>
      <c r="C31" s="74"/>
      <c r="D31" s="77"/>
      <c r="E31" s="64"/>
      <c r="F31" s="65"/>
      <c r="G31" s="65"/>
      <c r="H31" s="63"/>
      <c r="I31" s="63"/>
      <c r="J31" s="63"/>
      <c r="K31" s="63"/>
      <c r="L31" s="63"/>
      <c r="M31" s="63"/>
      <c r="N31" s="63"/>
    </row>
    <row r="32" spans="1:15" x14ac:dyDescent="0.25">
      <c r="A32" s="64"/>
      <c r="B32" s="64"/>
      <c r="C32" s="74"/>
      <c r="D32" s="77"/>
      <c r="E32" s="64"/>
      <c r="F32" s="65"/>
      <c r="G32" s="65"/>
      <c r="H32" s="63"/>
      <c r="I32" s="63"/>
      <c r="J32" s="63"/>
      <c r="K32" s="63"/>
      <c r="L32" s="63"/>
      <c r="M32" s="63"/>
      <c r="N32" s="63"/>
    </row>
    <row r="33" spans="1:14" x14ac:dyDescent="0.25">
      <c r="A33" s="64"/>
      <c r="B33" s="64"/>
      <c r="C33" s="74"/>
      <c r="D33" s="77"/>
      <c r="E33" s="64"/>
      <c r="F33" s="65"/>
      <c r="G33" s="65"/>
      <c r="H33" s="63"/>
      <c r="I33" s="63"/>
      <c r="J33" s="63"/>
      <c r="K33" s="63"/>
      <c r="L33" s="63"/>
      <c r="M33" s="63"/>
      <c r="N33" s="63"/>
    </row>
    <row r="34" spans="1:14" x14ac:dyDescent="0.25">
      <c r="A34" s="64"/>
      <c r="B34" s="64"/>
      <c r="C34" s="74"/>
      <c r="D34" s="77"/>
      <c r="E34" s="64"/>
      <c r="F34" s="65"/>
      <c r="G34" s="65"/>
      <c r="H34" s="63"/>
      <c r="I34" s="63"/>
      <c r="J34" s="63"/>
      <c r="K34" s="63"/>
      <c r="L34" s="63"/>
      <c r="M34" s="63"/>
      <c r="N34" s="63"/>
    </row>
    <row r="35" spans="1:14" x14ac:dyDescent="0.25">
      <c r="A35" s="64"/>
      <c r="B35" s="64"/>
      <c r="C35" s="74"/>
      <c r="D35" s="77"/>
      <c r="E35" s="64"/>
      <c r="F35" s="65"/>
      <c r="G35" s="65"/>
      <c r="H35" s="63"/>
      <c r="I35" s="63"/>
      <c r="J35" s="63"/>
      <c r="K35" s="63"/>
      <c r="L35" s="63"/>
      <c r="M35" s="63"/>
      <c r="N35" s="63"/>
    </row>
    <row r="36" spans="1:14" x14ac:dyDescent="0.25">
      <c r="A36" s="64"/>
      <c r="B36" s="64"/>
      <c r="C36" s="74"/>
      <c r="D36" s="77"/>
      <c r="E36" s="64"/>
      <c r="F36" s="65"/>
      <c r="G36" s="65"/>
      <c r="H36" s="63"/>
      <c r="I36" s="63"/>
      <c r="J36" s="63"/>
      <c r="K36" s="63"/>
      <c r="L36" s="63"/>
      <c r="M36" s="63"/>
      <c r="N36" s="63"/>
    </row>
    <row r="37" spans="1:14" x14ac:dyDescent="0.25">
      <c r="A37" s="64"/>
      <c r="B37" s="64"/>
      <c r="C37" s="74"/>
      <c r="D37" s="77"/>
      <c r="E37" s="64"/>
      <c r="F37" s="65"/>
      <c r="G37" s="65"/>
      <c r="H37" s="63"/>
      <c r="I37" s="63"/>
      <c r="J37" s="63"/>
      <c r="K37" s="63"/>
      <c r="L37" s="63"/>
      <c r="M37" s="63"/>
      <c r="N37" s="63"/>
    </row>
    <row r="38" spans="1:14" x14ac:dyDescent="0.25">
      <c r="A38" s="64"/>
      <c r="B38" s="64"/>
      <c r="C38" s="74"/>
      <c r="D38" s="77"/>
      <c r="E38" s="64"/>
      <c r="F38" s="65"/>
      <c r="G38" s="65"/>
      <c r="H38" s="63"/>
      <c r="I38" s="63"/>
      <c r="J38" s="63"/>
      <c r="K38" s="63"/>
      <c r="L38" s="63"/>
      <c r="M38" s="63"/>
      <c r="N38" s="63"/>
    </row>
    <row r="39" spans="1:14" x14ac:dyDescent="0.25">
      <c r="A39" s="64"/>
      <c r="B39" s="64"/>
      <c r="C39" s="74"/>
      <c r="D39" s="77"/>
      <c r="E39" s="64"/>
      <c r="F39" s="65"/>
      <c r="G39" s="65"/>
      <c r="H39" s="63"/>
      <c r="I39" s="63"/>
      <c r="J39" s="63"/>
      <c r="K39" s="63"/>
      <c r="L39" s="63"/>
      <c r="M39" s="63"/>
      <c r="N39" s="63"/>
    </row>
    <row r="40" spans="1:14" x14ac:dyDescent="0.25">
      <c r="A40" s="64"/>
      <c r="B40" s="64"/>
      <c r="C40" s="74"/>
      <c r="D40" s="77"/>
      <c r="E40" s="64"/>
      <c r="F40" s="65"/>
      <c r="G40" s="65"/>
      <c r="H40" s="63"/>
      <c r="I40" s="63"/>
      <c r="J40" s="63"/>
      <c r="K40" s="63"/>
      <c r="L40" s="63"/>
      <c r="M40" s="63"/>
      <c r="N40" s="63"/>
    </row>
    <row r="41" spans="1:14" x14ac:dyDescent="0.25">
      <c r="A41" s="64"/>
      <c r="B41" s="64"/>
      <c r="C41" s="74"/>
      <c r="D41" s="77"/>
      <c r="E41" s="64"/>
      <c r="F41" s="65"/>
      <c r="G41" s="65"/>
      <c r="H41" s="63"/>
      <c r="I41" s="63"/>
      <c r="J41" s="63"/>
      <c r="K41" s="63"/>
      <c r="L41" s="63"/>
      <c r="M41" s="63"/>
      <c r="N41" s="63"/>
    </row>
    <row r="42" spans="1:14" x14ac:dyDescent="0.25">
      <c r="A42" s="64"/>
      <c r="B42" s="64"/>
      <c r="C42" s="74"/>
      <c r="D42" s="77"/>
      <c r="E42" s="64"/>
      <c r="F42" s="65"/>
      <c r="G42" s="65"/>
      <c r="H42" s="63"/>
      <c r="I42" s="63"/>
      <c r="J42" s="63"/>
      <c r="K42" s="63"/>
      <c r="L42" s="63"/>
      <c r="M42" s="63"/>
      <c r="N42" s="63"/>
    </row>
    <row r="43" spans="1:14" x14ac:dyDescent="0.25">
      <c r="A43" s="64"/>
      <c r="B43" s="64"/>
      <c r="C43" s="74"/>
      <c r="D43" s="77"/>
      <c r="E43" s="64"/>
      <c r="F43" s="65"/>
      <c r="G43" s="65"/>
      <c r="H43" s="63"/>
      <c r="I43" s="63"/>
      <c r="J43" s="63"/>
      <c r="K43" s="63"/>
      <c r="L43" s="63"/>
      <c r="M43" s="63"/>
      <c r="N43" s="63"/>
    </row>
    <row r="44" spans="1:14" x14ac:dyDescent="0.25">
      <c r="A44" s="64"/>
      <c r="B44" s="64"/>
      <c r="C44" s="74"/>
      <c r="D44" s="77"/>
      <c r="E44" s="64"/>
      <c r="F44" s="65"/>
      <c r="G44" s="65"/>
      <c r="H44" s="63"/>
      <c r="I44" s="63"/>
      <c r="J44" s="63"/>
      <c r="K44" s="63"/>
      <c r="L44" s="63"/>
      <c r="M44" s="63"/>
      <c r="N44" s="63"/>
    </row>
    <row r="45" spans="1:14" x14ac:dyDescent="0.25">
      <c r="A45" s="64"/>
      <c r="B45" s="64"/>
      <c r="C45" s="74"/>
      <c r="D45" s="77"/>
      <c r="E45" s="64"/>
      <c r="F45" s="65"/>
      <c r="G45" s="65"/>
      <c r="H45" s="63"/>
      <c r="I45" s="63"/>
      <c r="J45" s="63"/>
      <c r="K45" s="63"/>
      <c r="L45" s="63"/>
      <c r="M45" s="63"/>
      <c r="N45" s="63"/>
    </row>
    <row r="46" spans="1:14" x14ac:dyDescent="0.25">
      <c r="A46" s="64"/>
      <c r="B46" s="64"/>
      <c r="C46" s="74"/>
      <c r="D46" s="77"/>
      <c r="E46" s="64"/>
      <c r="F46" s="65"/>
      <c r="G46" s="65"/>
      <c r="H46" s="63"/>
      <c r="I46" s="63"/>
      <c r="J46" s="63"/>
      <c r="K46" s="63"/>
      <c r="L46" s="63"/>
      <c r="M46" s="63"/>
      <c r="N46" s="63"/>
    </row>
    <row r="47" spans="1:14" x14ac:dyDescent="0.25">
      <c r="A47" s="64"/>
      <c r="B47" s="64"/>
      <c r="C47" s="74"/>
      <c r="D47" s="77"/>
      <c r="E47" s="64"/>
      <c r="F47" s="65"/>
      <c r="G47" s="65"/>
      <c r="H47" s="63"/>
      <c r="I47" s="63"/>
      <c r="J47" s="63"/>
      <c r="K47" s="63"/>
      <c r="L47" s="63"/>
      <c r="M47" s="63"/>
      <c r="N47" s="63"/>
    </row>
    <row r="48" spans="1:14" x14ac:dyDescent="0.25">
      <c r="A48" s="64"/>
      <c r="B48" s="64"/>
      <c r="C48" s="74"/>
      <c r="D48" s="77"/>
      <c r="E48" s="64"/>
      <c r="F48" s="65"/>
      <c r="G48" s="65"/>
      <c r="H48" s="63"/>
      <c r="I48" s="63"/>
      <c r="J48" s="63"/>
      <c r="K48" s="63"/>
      <c r="L48" s="63"/>
      <c r="M48" s="63"/>
      <c r="N48" s="63"/>
    </row>
    <row r="49" spans="1:14" x14ac:dyDescent="0.25">
      <c r="A49" s="64"/>
      <c r="B49" s="64"/>
      <c r="C49" s="74"/>
      <c r="D49" s="77"/>
      <c r="E49" s="64"/>
      <c r="F49" s="65"/>
      <c r="G49" s="65"/>
      <c r="H49" s="63"/>
      <c r="I49" s="63"/>
      <c r="J49" s="63"/>
      <c r="K49" s="63"/>
      <c r="L49" s="63"/>
      <c r="M49" s="63"/>
      <c r="N49" s="63"/>
    </row>
    <row r="50" spans="1:14" x14ac:dyDescent="0.25">
      <c r="A50" s="64"/>
      <c r="B50" s="64"/>
      <c r="C50" s="74"/>
      <c r="D50" s="77"/>
      <c r="E50" s="64"/>
      <c r="F50" s="65"/>
      <c r="G50" s="65"/>
      <c r="H50" s="63"/>
      <c r="I50" s="63"/>
      <c r="J50" s="63"/>
      <c r="K50" s="63"/>
      <c r="L50" s="63"/>
      <c r="M50" s="63"/>
      <c r="N50" s="63"/>
    </row>
    <row r="51" spans="1:14" x14ac:dyDescent="0.25">
      <c r="A51" s="64"/>
      <c r="B51" s="64"/>
      <c r="C51" s="74"/>
      <c r="D51" s="77"/>
      <c r="E51" s="64"/>
      <c r="F51" s="65"/>
      <c r="G51" s="65"/>
      <c r="H51" s="63"/>
      <c r="I51" s="63"/>
      <c r="J51" s="63"/>
      <c r="K51" s="63"/>
      <c r="L51" s="63"/>
      <c r="M51" s="63"/>
      <c r="N51" s="63"/>
    </row>
    <row r="52" spans="1:14" x14ac:dyDescent="0.25">
      <c r="A52" s="64"/>
      <c r="B52" s="64"/>
      <c r="C52" s="74"/>
      <c r="D52" s="77"/>
      <c r="E52" s="64"/>
      <c r="F52" s="65"/>
      <c r="G52" s="65"/>
      <c r="H52" s="63"/>
      <c r="I52" s="63"/>
      <c r="J52" s="63"/>
      <c r="K52" s="63"/>
      <c r="L52" s="63"/>
      <c r="M52" s="63"/>
      <c r="N52" s="63"/>
    </row>
    <row r="53" spans="1:14" x14ac:dyDescent="0.25">
      <c r="A53" s="64"/>
      <c r="B53" s="64"/>
      <c r="C53" s="74"/>
      <c r="D53" s="77"/>
      <c r="E53" s="64"/>
      <c r="F53" s="65"/>
      <c r="G53" s="65"/>
      <c r="H53" s="63"/>
      <c r="I53" s="63"/>
      <c r="J53" s="63"/>
      <c r="K53" s="63"/>
      <c r="L53" s="63"/>
      <c r="M53" s="63"/>
      <c r="N53" s="63"/>
    </row>
    <row r="54" spans="1:14" x14ac:dyDescent="0.25">
      <c r="A54" s="64"/>
      <c r="B54" s="64"/>
      <c r="C54" s="74"/>
      <c r="D54" s="77"/>
      <c r="E54" s="64"/>
      <c r="F54" s="65"/>
      <c r="G54" s="65"/>
      <c r="H54" s="63"/>
      <c r="I54" s="63"/>
      <c r="J54" s="63"/>
      <c r="K54" s="63"/>
      <c r="L54" s="63"/>
      <c r="M54" s="63"/>
      <c r="N54" s="63"/>
    </row>
    <row r="55" spans="1:14" x14ac:dyDescent="0.25">
      <c r="A55" s="64"/>
      <c r="B55" s="64"/>
      <c r="C55" s="74"/>
      <c r="D55" s="77"/>
      <c r="E55" s="64"/>
      <c r="F55" s="65"/>
      <c r="G55" s="65"/>
      <c r="H55" s="63"/>
      <c r="I55" s="63"/>
      <c r="J55" s="63"/>
      <c r="K55" s="63"/>
      <c r="L55" s="63"/>
      <c r="M55" s="63"/>
      <c r="N55" s="63"/>
    </row>
    <row r="56" spans="1:14" x14ac:dyDescent="0.25">
      <c r="A56" s="64"/>
      <c r="B56" s="64"/>
      <c r="C56" s="74"/>
      <c r="D56" s="77"/>
      <c r="E56" s="64"/>
      <c r="F56" s="65"/>
      <c r="G56" s="65"/>
      <c r="H56" s="63"/>
      <c r="I56" s="63"/>
      <c r="J56" s="63"/>
      <c r="K56" s="63"/>
      <c r="L56" s="63"/>
      <c r="M56" s="63"/>
      <c r="N56" s="63"/>
    </row>
    <row r="57" spans="1:14" x14ac:dyDescent="0.25">
      <c r="A57" s="64"/>
      <c r="B57" s="64"/>
      <c r="C57" s="74"/>
      <c r="D57" s="77"/>
      <c r="E57" s="64"/>
      <c r="F57" s="65"/>
      <c r="G57" s="65"/>
      <c r="H57" s="63"/>
      <c r="I57" s="63"/>
      <c r="J57" s="63"/>
      <c r="K57" s="63"/>
      <c r="L57" s="63"/>
      <c r="M57" s="63"/>
      <c r="N57" s="63"/>
    </row>
    <row r="58" spans="1:14" x14ac:dyDescent="0.25">
      <c r="A58" s="64"/>
      <c r="B58" s="64"/>
      <c r="C58" s="74"/>
      <c r="D58" s="77"/>
      <c r="E58" s="64"/>
      <c r="F58" s="65"/>
      <c r="G58" s="65"/>
      <c r="H58" s="63"/>
      <c r="I58" s="63"/>
      <c r="J58" s="63"/>
      <c r="K58" s="63"/>
      <c r="L58" s="63"/>
      <c r="M58" s="63"/>
      <c r="N58" s="63"/>
    </row>
    <row r="59" spans="1:14" x14ac:dyDescent="0.25">
      <c r="A59" s="60"/>
      <c r="B59" s="60"/>
      <c r="C59" s="73"/>
      <c r="D59" s="77"/>
      <c r="E59" s="60"/>
      <c r="F59" s="60"/>
      <c r="G59" s="60"/>
      <c r="H59" s="63"/>
      <c r="I59" s="63"/>
      <c r="J59" s="63"/>
      <c r="K59" s="63"/>
      <c r="L59" s="63"/>
      <c r="M59" s="63"/>
      <c r="N59" s="63"/>
    </row>
    <row r="60" spans="1:14" x14ac:dyDescent="0.25">
      <c r="A60" s="60"/>
      <c r="B60" s="60"/>
      <c r="C60" s="73"/>
      <c r="D60" s="77"/>
      <c r="E60" s="60"/>
      <c r="F60" s="60"/>
      <c r="G60" s="60"/>
      <c r="H60" s="63"/>
      <c r="I60" s="63"/>
      <c r="J60" s="63"/>
      <c r="K60" s="63"/>
      <c r="L60" s="63"/>
      <c r="M60" s="63"/>
      <c r="N60" s="63"/>
    </row>
    <row r="61" spans="1:14" x14ac:dyDescent="0.25">
      <c r="A61" s="60"/>
      <c r="B61" s="60"/>
      <c r="C61" s="73"/>
      <c r="D61" s="77"/>
      <c r="E61" s="60"/>
      <c r="F61" s="60"/>
      <c r="G61" s="60"/>
      <c r="H61" s="63"/>
      <c r="I61" s="63"/>
      <c r="J61" s="63"/>
      <c r="K61" s="63"/>
      <c r="L61" s="63"/>
      <c r="M61" s="63"/>
      <c r="N61" s="63"/>
    </row>
    <row r="62" spans="1:14" x14ac:dyDescent="0.25">
      <c r="A62" s="60"/>
      <c r="B62" s="60"/>
      <c r="C62" s="73"/>
      <c r="D62" s="77"/>
      <c r="E62" s="60"/>
      <c r="F62" s="60"/>
      <c r="G62" s="60"/>
      <c r="H62" s="63"/>
      <c r="I62" s="63"/>
      <c r="J62" s="63"/>
      <c r="K62" s="63"/>
      <c r="L62" s="63"/>
      <c r="M62" s="63"/>
      <c r="N62" s="63"/>
    </row>
    <row r="63" spans="1:14" x14ac:dyDescent="0.25">
      <c r="A63" s="60"/>
      <c r="B63" s="60"/>
      <c r="C63" s="73"/>
      <c r="D63" s="77"/>
      <c r="E63" s="60"/>
      <c r="F63" s="60"/>
      <c r="G63" s="60"/>
      <c r="H63" s="63"/>
      <c r="I63" s="63"/>
      <c r="J63" s="63"/>
      <c r="K63" s="63"/>
      <c r="L63" s="63"/>
      <c r="M63" s="63"/>
      <c r="N63" s="63"/>
    </row>
    <row r="64" spans="1:14" x14ac:dyDescent="0.25">
      <c r="A64" s="60"/>
      <c r="B64" s="60"/>
      <c r="C64" s="73"/>
      <c r="D64" s="77"/>
      <c r="E64" s="60"/>
      <c r="F64" s="60"/>
      <c r="G64" s="60"/>
      <c r="H64" s="63"/>
      <c r="I64" s="63"/>
      <c r="J64" s="63"/>
      <c r="K64" s="63"/>
      <c r="L64" s="63"/>
      <c r="M64" s="63"/>
      <c r="N64" s="63"/>
    </row>
    <row r="65" spans="1:14" x14ac:dyDescent="0.25">
      <c r="A65" s="60"/>
      <c r="B65" s="60"/>
      <c r="C65" s="73"/>
      <c r="D65" s="77"/>
      <c r="E65" s="60"/>
      <c r="F65" s="60"/>
      <c r="G65" s="60"/>
      <c r="H65" s="63"/>
      <c r="I65" s="63"/>
      <c r="J65" s="63"/>
      <c r="K65" s="63"/>
      <c r="L65" s="63"/>
      <c r="M65" s="63"/>
      <c r="N65" s="63"/>
    </row>
    <row r="66" spans="1:14" x14ac:dyDescent="0.25">
      <c r="A66" s="60"/>
      <c r="B66" s="60"/>
      <c r="C66" s="73"/>
      <c r="D66" s="77"/>
      <c r="E66" s="60"/>
      <c r="F66" s="60"/>
      <c r="G66" s="60"/>
      <c r="H66" s="63"/>
      <c r="I66" s="63"/>
      <c r="J66" s="63"/>
      <c r="K66" s="63"/>
      <c r="L66" s="63"/>
      <c r="M66" s="63"/>
      <c r="N66" s="63"/>
    </row>
    <row r="67" spans="1:14" x14ac:dyDescent="0.25">
      <c r="A67" s="60"/>
      <c r="B67" s="60"/>
      <c r="C67" s="73"/>
      <c r="D67" s="77"/>
      <c r="E67" s="60"/>
      <c r="F67" s="60"/>
      <c r="G67" s="60"/>
      <c r="H67" s="63"/>
      <c r="I67" s="63"/>
      <c r="J67" s="63"/>
      <c r="K67" s="63"/>
      <c r="L67" s="63"/>
      <c r="M67" s="63"/>
      <c r="N67" s="63"/>
    </row>
    <row r="68" spans="1:14" x14ac:dyDescent="0.25">
      <c r="A68" s="60"/>
      <c r="B68" s="60"/>
      <c r="C68" s="73"/>
      <c r="D68" s="77"/>
      <c r="E68" s="60"/>
      <c r="F68" s="60"/>
      <c r="G68" s="60"/>
      <c r="H68" s="63"/>
      <c r="I68" s="63"/>
      <c r="J68" s="63"/>
      <c r="K68" s="63"/>
      <c r="L68" s="63"/>
      <c r="M68" s="63"/>
      <c r="N68" s="63"/>
    </row>
    <row r="69" spans="1:14" x14ac:dyDescent="0.25">
      <c r="A69" s="60"/>
      <c r="B69" s="60"/>
      <c r="C69" s="73"/>
      <c r="D69" s="77"/>
      <c r="E69" s="60"/>
      <c r="F69" s="60"/>
      <c r="G69" s="60"/>
      <c r="H69" s="63"/>
      <c r="I69" s="63"/>
      <c r="J69" s="63"/>
      <c r="K69" s="63"/>
      <c r="L69" s="63"/>
      <c r="M69" s="63"/>
      <c r="N69" s="63"/>
    </row>
    <row r="70" spans="1:14" x14ac:dyDescent="0.25">
      <c r="A70" s="60"/>
      <c r="B70" s="60"/>
      <c r="C70" s="73"/>
      <c r="D70" s="77"/>
      <c r="E70" s="60"/>
      <c r="F70" s="60"/>
      <c r="G70" s="60"/>
      <c r="H70" s="63"/>
      <c r="I70" s="63"/>
      <c r="J70" s="63"/>
      <c r="K70" s="63"/>
      <c r="L70" s="63"/>
      <c r="M70" s="63"/>
      <c r="N70" s="63"/>
    </row>
    <row r="71" spans="1:14" x14ac:dyDescent="0.25">
      <c r="A71" s="60"/>
      <c r="B71" s="60"/>
      <c r="C71" s="73"/>
      <c r="D71" s="77"/>
      <c r="E71" s="60"/>
      <c r="F71" s="60"/>
      <c r="G71" s="60"/>
      <c r="H71" s="63"/>
      <c r="I71" s="63"/>
      <c r="J71" s="63"/>
      <c r="K71" s="63"/>
      <c r="L71" s="63"/>
      <c r="M71" s="63"/>
      <c r="N71" s="63"/>
    </row>
    <row r="72" spans="1:14" x14ac:dyDescent="0.25">
      <c r="A72" s="60"/>
      <c r="B72" s="60"/>
      <c r="C72" s="73"/>
      <c r="D72" s="77"/>
      <c r="E72" s="60"/>
      <c r="F72" s="60"/>
      <c r="G72" s="60"/>
      <c r="H72" s="63"/>
      <c r="I72" s="63"/>
      <c r="J72" s="63"/>
      <c r="K72" s="63"/>
      <c r="L72" s="63"/>
      <c r="M72" s="63"/>
      <c r="N72" s="63"/>
    </row>
    <row r="73" spans="1:14" x14ac:dyDescent="0.25">
      <c r="A73" s="60"/>
      <c r="B73" s="60"/>
      <c r="C73" s="73"/>
      <c r="D73" s="77"/>
      <c r="E73" s="60"/>
      <c r="F73" s="60"/>
      <c r="G73" s="60"/>
      <c r="H73" s="63"/>
      <c r="I73" s="63"/>
      <c r="J73" s="63"/>
      <c r="K73" s="63"/>
      <c r="L73" s="63"/>
      <c r="M73" s="63"/>
      <c r="N73" s="63"/>
    </row>
    <row r="74" spans="1:14" x14ac:dyDescent="0.25">
      <c r="A74" s="60"/>
      <c r="B74" s="60"/>
      <c r="C74" s="73"/>
      <c r="D74" s="77"/>
      <c r="E74" s="60"/>
      <c r="F74" s="60"/>
      <c r="G74" s="60"/>
      <c r="H74" s="63"/>
      <c r="I74" s="63"/>
      <c r="J74" s="63"/>
      <c r="K74" s="63"/>
      <c r="L74" s="63"/>
      <c r="M74" s="63"/>
      <c r="N74" s="63"/>
    </row>
    <row r="75" spans="1:14" x14ac:dyDescent="0.25">
      <c r="A75" s="60"/>
      <c r="B75" s="60"/>
      <c r="C75" s="73"/>
      <c r="D75" s="77"/>
      <c r="E75" s="60"/>
      <c r="F75" s="60"/>
      <c r="G75" s="60"/>
      <c r="H75" s="63"/>
      <c r="I75" s="63"/>
      <c r="J75" s="63"/>
      <c r="K75" s="63"/>
      <c r="L75" s="63"/>
      <c r="M75" s="63"/>
      <c r="N75" s="63"/>
    </row>
    <row r="76" spans="1:14" x14ac:dyDescent="0.25">
      <c r="A76" s="60"/>
      <c r="B76" s="60"/>
      <c r="C76" s="73"/>
      <c r="D76" s="77"/>
      <c r="E76" s="60"/>
      <c r="F76" s="60"/>
      <c r="G76" s="60"/>
      <c r="H76" s="63"/>
      <c r="I76" s="63"/>
      <c r="J76" s="63"/>
      <c r="K76" s="63"/>
      <c r="L76" s="63"/>
      <c r="M76" s="63"/>
      <c r="N76" s="63"/>
    </row>
    <row r="77" spans="1:14" x14ac:dyDescent="0.25">
      <c r="A77" s="60"/>
      <c r="B77" s="60"/>
      <c r="C77" s="73"/>
      <c r="D77" s="77"/>
      <c r="E77" s="60"/>
      <c r="F77" s="60"/>
      <c r="G77" s="60"/>
      <c r="H77" s="63"/>
      <c r="I77" s="63"/>
      <c r="J77" s="63"/>
      <c r="K77" s="63"/>
      <c r="L77" s="63"/>
      <c r="M77" s="63"/>
      <c r="N77" s="63"/>
    </row>
    <row r="78" spans="1:14" x14ac:dyDescent="0.25">
      <c r="A78" s="60"/>
      <c r="B78" s="60"/>
      <c r="C78" s="73"/>
      <c r="D78" s="77"/>
      <c r="E78" s="60"/>
      <c r="F78" s="60"/>
      <c r="G78" s="60"/>
      <c r="H78" s="63"/>
      <c r="I78" s="63"/>
      <c r="J78" s="63"/>
      <c r="K78" s="63"/>
      <c r="L78" s="63"/>
      <c r="M78" s="63"/>
      <c r="N78" s="63"/>
    </row>
    <row r="79" spans="1:14" x14ac:dyDescent="0.25">
      <c r="A79" s="60"/>
      <c r="B79" s="60"/>
      <c r="C79" s="73"/>
      <c r="D79" s="77"/>
      <c r="E79" s="60"/>
      <c r="F79" s="60"/>
      <c r="G79" s="60"/>
      <c r="H79" s="63"/>
      <c r="I79" s="63"/>
      <c r="J79" s="63"/>
      <c r="K79" s="63"/>
      <c r="L79" s="63"/>
      <c r="M79" s="63"/>
      <c r="N79" s="63"/>
    </row>
    <row r="80" spans="1:14" x14ac:dyDescent="0.25">
      <c r="A80" s="60"/>
      <c r="B80" s="60"/>
      <c r="C80" s="73"/>
      <c r="D80" s="77"/>
      <c r="E80" s="60"/>
      <c r="F80" s="60"/>
      <c r="G80" s="60"/>
      <c r="H80" s="63"/>
      <c r="I80" s="63"/>
      <c r="J80" s="63"/>
      <c r="K80" s="63"/>
      <c r="L80" s="63"/>
      <c r="M80" s="63"/>
      <c r="N80" s="63"/>
    </row>
    <row r="81" spans="1:7" x14ac:dyDescent="0.25">
      <c r="A81" s="57"/>
      <c r="B81" s="57"/>
      <c r="C81" s="75"/>
      <c r="D81" s="78"/>
      <c r="E81" s="57"/>
      <c r="F81" s="57"/>
      <c r="G81" s="57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D14" sqref="C14:G17"/>
    </sheetView>
  </sheetViews>
  <sheetFormatPr baseColWidth="10" defaultRowHeight="15" x14ac:dyDescent="0.25"/>
  <cols>
    <col min="1" max="1" width="21.42578125" customWidth="1"/>
    <col min="2" max="2" width="19" bestFit="1" customWidth="1"/>
    <col min="3" max="3" width="4.140625" bestFit="1" customWidth="1"/>
    <col min="4" max="4" width="21.7109375" customWidth="1"/>
    <col min="5" max="5" width="31.85546875" customWidth="1"/>
    <col min="7" max="7" width="14" customWidth="1"/>
  </cols>
  <sheetData>
    <row r="3" spans="1:11" x14ac:dyDescent="0.25">
      <c r="A3" s="4" t="s">
        <v>12</v>
      </c>
      <c r="B3" t="s">
        <v>14</v>
      </c>
    </row>
    <row r="4" spans="1:11" x14ac:dyDescent="0.25">
      <c r="A4" s="5" t="s">
        <v>54</v>
      </c>
      <c r="B4" s="7">
        <v>1</v>
      </c>
    </row>
    <row r="5" spans="1:11" x14ac:dyDescent="0.25">
      <c r="A5" s="6" t="s">
        <v>59</v>
      </c>
      <c r="B5" s="7">
        <v>1</v>
      </c>
    </row>
    <row r="6" spans="1:11" x14ac:dyDescent="0.25">
      <c r="A6" s="5" t="s">
        <v>66</v>
      </c>
      <c r="B6" s="7">
        <v>1</v>
      </c>
    </row>
    <row r="7" spans="1:11" x14ac:dyDescent="0.25">
      <c r="A7" s="6" t="s">
        <v>57</v>
      </c>
      <c r="B7" s="7">
        <v>1</v>
      </c>
    </row>
    <row r="8" spans="1:11" x14ac:dyDescent="0.25">
      <c r="A8" s="5" t="s">
        <v>67</v>
      </c>
      <c r="B8" s="7">
        <v>20</v>
      </c>
    </row>
    <row r="9" spans="1:11" x14ac:dyDescent="0.25">
      <c r="A9" s="6" t="s">
        <v>58</v>
      </c>
      <c r="B9" s="7">
        <v>20</v>
      </c>
    </row>
    <row r="10" spans="1:11" x14ac:dyDescent="0.25">
      <c r="A10" s="5" t="s">
        <v>13</v>
      </c>
      <c r="B10" s="7">
        <v>22</v>
      </c>
      <c r="K10">
        <f>0.15*100/1.34</f>
        <v>11.194029850746269</v>
      </c>
    </row>
    <row r="13" spans="1:11" ht="30" customHeight="1" x14ac:dyDescent="0.25">
      <c r="C13" s="22" t="s">
        <v>21</v>
      </c>
      <c r="D13" s="23" t="s">
        <v>22</v>
      </c>
      <c r="E13" s="23" t="s">
        <v>23</v>
      </c>
      <c r="F13" s="23" t="s">
        <v>24</v>
      </c>
      <c r="G13" s="24" t="s">
        <v>25</v>
      </c>
    </row>
    <row r="14" spans="1:11" x14ac:dyDescent="0.25">
      <c r="C14" s="9">
        <v>1</v>
      </c>
      <c r="D14" s="9" t="str">
        <f>A5</f>
        <v xml:space="preserve">Aliso </v>
      </c>
      <c r="E14" s="10" t="str">
        <f>A4</f>
        <v>Alnus sp.</v>
      </c>
      <c r="F14" s="11">
        <f>GETPIVOTDATA("No. Arbol",$A$3,"Especie","Alnus sp.")</f>
        <v>1</v>
      </c>
      <c r="G14" s="12">
        <f>F14/F17*100</f>
        <v>4.5454545454545459</v>
      </c>
    </row>
    <row r="15" spans="1:11" s="1" customFormat="1" x14ac:dyDescent="0.25">
      <c r="C15" s="9">
        <v>2</v>
      </c>
      <c r="D15" s="9" t="str">
        <f>A7</f>
        <v>Chulube</v>
      </c>
      <c r="E15" s="10" t="str">
        <f>A6</f>
        <v>Arbutus xalapensis</v>
      </c>
      <c r="F15" s="11">
        <f>GETPIVOTDATA("No. Arbol",$A$3,"Especie","Arbutus xalapensis")</f>
        <v>1</v>
      </c>
      <c r="G15" s="12">
        <f>F15/F17*100</f>
        <v>4.5454545454545459</v>
      </c>
    </row>
    <row r="16" spans="1:11" s="1" customFormat="1" x14ac:dyDescent="0.25">
      <c r="C16" s="9">
        <v>3</v>
      </c>
      <c r="D16" s="9" t="str">
        <f>A9</f>
        <v>Pino triste</v>
      </c>
      <c r="E16" s="10" t="str">
        <f>A8</f>
        <v>Pinus pseudostrobus</v>
      </c>
      <c r="F16" s="11">
        <f>GETPIVOTDATA("No. Arbol",$A$3,"Especie","Pinus pseudostrobus")</f>
        <v>20</v>
      </c>
      <c r="G16" s="12">
        <f>F16/F17*100</f>
        <v>90.909090909090907</v>
      </c>
    </row>
    <row r="17" spans="3:7" x14ac:dyDescent="0.25">
      <c r="C17" s="86" t="s">
        <v>26</v>
      </c>
      <c r="D17" s="86"/>
      <c r="E17" s="86"/>
      <c r="F17" s="25">
        <f>SUM(F14:F16)</f>
        <v>22</v>
      </c>
      <c r="G17" s="26">
        <f>F17/F17*100</f>
        <v>100</v>
      </c>
    </row>
  </sheetData>
  <mergeCells count="1">
    <mergeCell ref="C17:E17"/>
  </mergeCell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topLeftCell="B1" workbookViewId="0">
      <selection activeCell="E14" sqref="E14:J17"/>
    </sheetView>
  </sheetViews>
  <sheetFormatPr baseColWidth="10" defaultRowHeight="15" x14ac:dyDescent="0.25"/>
  <cols>
    <col min="1" max="1" width="19.5703125" customWidth="1"/>
    <col min="2" max="3" width="21.28515625" customWidth="1"/>
    <col min="4" max="4" width="22.140625" customWidth="1"/>
    <col min="5" max="5" width="15.140625" customWidth="1"/>
    <col min="6" max="6" width="21" customWidth="1"/>
    <col min="7" max="7" width="10.42578125" customWidth="1"/>
    <col min="8" max="8" width="10.28515625" customWidth="1"/>
    <col min="9" max="9" width="7.85546875" customWidth="1"/>
    <col min="10" max="10" width="8.85546875" customWidth="1"/>
  </cols>
  <sheetData>
    <row r="3" spans="1:12" x14ac:dyDescent="0.25">
      <c r="B3" s="4" t="s">
        <v>16</v>
      </c>
    </row>
    <row r="4" spans="1:12" x14ac:dyDescent="0.25">
      <c r="A4" s="4" t="s">
        <v>12</v>
      </c>
      <c r="B4" s="1" t="s">
        <v>15</v>
      </c>
      <c r="C4" s="1" t="s">
        <v>17</v>
      </c>
      <c r="D4" s="1" t="s">
        <v>18</v>
      </c>
      <c r="E4" s="1" t="s">
        <v>19</v>
      </c>
      <c r="F4" s="1" t="s">
        <v>20</v>
      </c>
    </row>
    <row r="5" spans="1:12" x14ac:dyDescent="0.25">
      <c r="A5" s="5" t="s">
        <v>54</v>
      </c>
      <c r="B5" s="8">
        <v>10</v>
      </c>
      <c r="C5" s="3">
        <v>13.5</v>
      </c>
      <c r="D5" s="3">
        <v>12</v>
      </c>
      <c r="E5" s="3">
        <v>0.14313915000000002</v>
      </c>
      <c r="F5" s="3">
        <v>2.1003057899999997</v>
      </c>
    </row>
    <row r="6" spans="1:12" x14ac:dyDescent="0.25">
      <c r="A6" s="5" t="s">
        <v>66</v>
      </c>
      <c r="B6" s="8">
        <v>10</v>
      </c>
      <c r="C6" s="3">
        <v>12</v>
      </c>
      <c r="D6" s="3">
        <v>7</v>
      </c>
      <c r="E6" s="3">
        <v>0.11309759999999999</v>
      </c>
      <c r="F6" s="3">
        <v>1.5520825799999998</v>
      </c>
    </row>
    <row r="7" spans="1:12" x14ac:dyDescent="0.25">
      <c r="A7" s="5" t="s">
        <v>67</v>
      </c>
      <c r="B7" s="8">
        <v>200</v>
      </c>
      <c r="C7" s="3">
        <v>17</v>
      </c>
      <c r="D7" s="3">
        <v>13.5</v>
      </c>
      <c r="E7" s="3">
        <v>4.7925107999999996</v>
      </c>
      <c r="F7" s="3">
        <v>26.703704959999996</v>
      </c>
      <c r="L7">
        <f>2013-1977</f>
        <v>36</v>
      </c>
    </row>
    <row r="8" spans="1:12" x14ac:dyDescent="0.25">
      <c r="A8" s="5" t="s">
        <v>13</v>
      </c>
      <c r="B8" s="8">
        <v>220</v>
      </c>
      <c r="C8" s="3">
        <v>16.613636363636363</v>
      </c>
      <c r="D8" s="3">
        <v>13.136363636363637</v>
      </c>
      <c r="E8" s="3">
        <v>5.0487475499999999</v>
      </c>
      <c r="F8" s="3">
        <v>30.356093329999997</v>
      </c>
    </row>
    <row r="12" spans="1:12" x14ac:dyDescent="0.25">
      <c r="B12" s="91" t="s">
        <v>27</v>
      </c>
      <c r="C12" s="91" t="s">
        <v>28</v>
      </c>
      <c r="D12" s="88" t="s">
        <v>3</v>
      </c>
      <c r="E12" s="87" t="s">
        <v>15</v>
      </c>
      <c r="F12" s="87" t="s">
        <v>17</v>
      </c>
      <c r="G12" s="87" t="s">
        <v>18</v>
      </c>
      <c r="H12" s="87" t="s">
        <v>19</v>
      </c>
      <c r="I12" s="88" t="s">
        <v>29</v>
      </c>
      <c r="J12" s="88"/>
    </row>
    <row r="13" spans="1:12" x14ac:dyDescent="0.25">
      <c r="B13" s="91"/>
      <c r="C13" s="91"/>
      <c r="D13" s="88"/>
      <c r="E13" s="87"/>
      <c r="F13" s="87"/>
      <c r="G13" s="87"/>
      <c r="H13" s="87"/>
      <c r="I13" s="21" t="s">
        <v>30</v>
      </c>
      <c r="J13" s="21" t="s">
        <v>27</v>
      </c>
    </row>
    <row r="14" spans="1:12" x14ac:dyDescent="0.25">
      <c r="B14" s="89">
        <v>3</v>
      </c>
      <c r="C14" s="90">
        <v>0.78</v>
      </c>
      <c r="D14" s="13" t="str">
        <f>A5</f>
        <v>Alnus sp.</v>
      </c>
      <c r="E14" s="18">
        <f>GETPIVOTDATA("Suma de Densidad/Ha.",$A$3,"Especie","Alnus sp.")</f>
        <v>10</v>
      </c>
      <c r="F14" s="15">
        <f>GETPIVOTDATA("Promedio de DAP (cm)",$A$3,"Especie","Alnus sp.")</f>
        <v>13.5</v>
      </c>
      <c r="G14" s="15">
        <f>GETPIVOTDATA("Promedio de Altura (m)",$A$3,"Especie","Alnus sp.")</f>
        <v>12</v>
      </c>
      <c r="H14" s="15">
        <f>GETPIVOTDATA("Suma de AB/Ha.",$A$3,"Especie","Alnus sp.")</f>
        <v>0.14313915000000002</v>
      </c>
      <c r="I14" s="15">
        <f>GETPIVOTDATA("Suma de Volumen/Ha.",$A$3,"Especie","Alnus sp.")</f>
        <v>2.1003057899999997</v>
      </c>
      <c r="J14" s="16">
        <f>I14*C14</f>
        <v>1.6382385161999999</v>
      </c>
    </row>
    <row r="15" spans="1:12" s="1" customFormat="1" x14ac:dyDescent="0.25">
      <c r="B15" s="89"/>
      <c r="C15" s="90"/>
      <c r="D15" s="13" t="str">
        <f>A6</f>
        <v>Arbutus xalapensis</v>
      </c>
      <c r="E15" s="18">
        <f>GETPIVOTDATA("Suma de Densidad/Ha.",$A$3,"Especie","Arbutus xalapensis")</f>
        <v>10</v>
      </c>
      <c r="F15" s="15">
        <f>GETPIVOTDATA("Promedio de DAP (cm)",$A$3,"Especie","Arbutus xalapensis")</f>
        <v>12</v>
      </c>
      <c r="G15" s="15">
        <f>GETPIVOTDATA("Promedio de Altura (m)",$A$3,"Especie","Arbutus xalapensis")</f>
        <v>7</v>
      </c>
      <c r="H15" s="15">
        <f>GETPIVOTDATA("Suma de AB/Ha.",$A$3,"Especie","Arbutus xalapensis")</f>
        <v>0.11309759999999999</v>
      </c>
      <c r="I15" s="15">
        <f>GETPIVOTDATA("Suma de Volumen/Ha.",$A$3,"Especie","Arbutus xalapensis")</f>
        <v>1.5520825799999998</v>
      </c>
      <c r="J15" s="59">
        <f>I15*C14</f>
        <v>1.2106244123999998</v>
      </c>
    </row>
    <row r="16" spans="1:12" s="1" customFormat="1" x14ac:dyDescent="0.25">
      <c r="B16" s="89"/>
      <c r="C16" s="90"/>
      <c r="D16" s="13" t="str">
        <f>A7</f>
        <v>Pinus pseudostrobus</v>
      </c>
      <c r="E16" s="18">
        <f>GETPIVOTDATA("Suma de Densidad/Ha.",$A$3,"Especie","Pinus pseudostrobus")</f>
        <v>200</v>
      </c>
      <c r="F16" s="15">
        <f>GETPIVOTDATA("Promedio de DAP (cm)",$A$3,"Especie","Pinus pseudostrobus")</f>
        <v>17</v>
      </c>
      <c r="G16" s="15">
        <f>GETPIVOTDATA("Promedio de Altura (m)",$A$3,"Especie","Pinus pseudostrobus")</f>
        <v>13.5</v>
      </c>
      <c r="H16" s="15">
        <f>GETPIVOTDATA("Suma de AB/Ha.",$A$3,"Especie","Pinus pseudostrobus")</f>
        <v>4.7925107999999996</v>
      </c>
      <c r="I16" s="15">
        <f>GETPIVOTDATA("Suma de Volumen/Ha.",$A$3,"Especie","Pinus pseudostrobus")</f>
        <v>26.703704959999996</v>
      </c>
      <c r="J16" s="59">
        <f>I16*C14</f>
        <v>20.828889868799997</v>
      </c>
    </row>
    <row r="17" spans="2:10" x14ac:dyDescent="0.25">
      <c r="B17" s="89"/>
      <c r="C17" s="90"/>
      <c r="D17" s="19" t="s">
        <v>13</v>
      </c>
      <c r="E17" s="20">
        <f>GETPIVOTDATA("Suma de Densidad/Ha.",$A$3)</f>
        <v>220</v>
      </c>
      <c r="F17" s="71">
        <f>GETPIVOTDATA("Promedio de DAP (cm)",$A$3)</f>
        <v>16.613636363636363</v>
      </c>
      <c r="G17" s="71">
        <f>GETPIVOTDATA("Promedio de Altura (m)",$A$3)</f>
        <v>13.136363636363637</v>
      </c>
      <c r="H17" s="71">
        <f>GETPIVOTDATA("Suma de AB/Ha.",$A$3)</f>
        <v>5.0487475499999999</v>
      </c>
      <c r="I17" s="71">
        <f>GETPIVOTDATA("Suma de Volumen/Ha.",$A$3)</f>
        <v>30.356093329999997</v>
      </c>
      <c r="J17" s="71">
        <f>I17*C14</f>
        <v>23.677752797399997</v>
      </c>
    </row>
  </sheetData>
  <mergeCells count="10">
    <mergeCell ref="H12:H13"/>
    <mergeCell ref="I12:J12"/>
    <mergeCell ref="B14:B17"/>
    <mergeCell ref="C14:C17"/>
    <mergeCell ref="B12:B13"/>
    <mergeCell ref="C12:C13"/>
    <mergeCell ref="D12:D13"/>
    <mergeCell ref="E12:E13"/>
    <mergeCell ref="F12:F13"/>
    <mergeCell ref="G12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B5" sqref="B5:G7"/>
    </sheetView>
  </sheetViews>
  <sheetFormatPr baseColWidth="10" defaultRowHeight="15" x14ac:dyDescent="0.25"/>
  <cols>
    <col min="1" max="1" width="18.42578125" bestFit="1" customWidth="1"/>
    <col min="2" max="2" width="13" bestFit="1" customWidth="1"/>
    <col min="3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7" x14ac:dyDescent="0.25">
      <c r="B3" s="4" t="s">
        <v>16</v>
      </c>
    </row>
    <row r="4" spans="1:7" ht="30" x14ac:dyDescent="0.25">
      <c r="A4" s="50" t="s">
        <v>32</v>
      </c>
      <c r="B4" s="32" t="s">
        <v>15</v>
      </c>
      <c r="C4" s="32" t="s">
        <v>17</v>
      </c>
      <c r="D4" s="32" t="s">
        <v>18</v>
      </c>
      <c r="E4" s="32" t="s">
        <v>19</v>
      </c>
      <c r="F4" s="50" t="s">
        <v>20</v>
      </c>
      <c r="G4" s="24" t="s">
        <v>31</v>
      </c>
    </row>
    <row r="5" spans="1:7" x14ac:dyDescent="0.25">
      <c r="A5" s="49">
        <v>1</v>
      </c>
      <c r="B5" s="29">
        <v>110</v>
      </c>
      <c r="C5" s="30">
        <v>16.045454545454547</v>
      </c>
      <c r="D5" s="30">
        <v>12.727272727272727</v>
      </c>
      <c r="E5" s="30">
        <v>2.4137305499999999</v>
      </c>
      <c r="F5" s="48">
        <v>14.791950253999998</v>
      </c>
      <c r="G5" s="31">
        <f>F5*0.78</f>
        <v>11.537721198119998</v>
      </c>
    </row>
    <row r="6" spans="1:7" x14ac:dyDescent="0.25">
      <c r="A6" s="49">
        <v>2</v>
      </c>
      <c r="B6" s="29">
        <v>110</v>
      </c>
      <c r="C6" s="30">
        <v>17.181818181818183</v>
      </c>
      <c r="D6" s="30">
        <v>13.545454545454545</v>
      </c>
      <c r="E6" s="30">
        <v>2.6350169999999995</v>
      </c>
      <c r="F6" s="48">
        <v>15.564143075999999</v>
      </c>
      <c r="G6" s="31">
        <f t="shared" ref="G6:G7" si="0">F6*0.78</f>
        <v>12.14003159928</v>
      </c>
    </row>
    <row r="7" spans="1:7" x14ac:dyDescent="0.25">
      <c r="A7" s="52" t="s">
        <v>13</v>
      </c>
      <c r="B7" s="33">
        <v>220</v>
      </c>
      <c r="C7" s="34">
        <v>16.613636363636363</v>
      </c>
      <c r="D7" s="34">
        <v>13.136363636363637</v>
      </c>
      <c r="E7" s="34">
        <v>5.0487475499999999</v>
      </c>
      <c r="F7" s="51">
        <v>30.356093329999997</v>
      </c>
      <c r="G7" s="35">
        <f t="shared" si="0"/>
        <v>23.677752797399997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E4" sqref="E4"/>
    </sheetView>
  </sheetViews>
  <sheetFormatPr baseColWidth="10" defaultRowHeight="15" x14ac:dyDescent="0.25"/>
  <cols>
    <col min="5" max="5" width="21.140625" customWidth="1"/>
    <col min="6" max="6" width="12.85546875" customWidth="1"/>
  </cols>
  <sheetData>
    <row r="3" spans="2:6" x14ac:dyDescent="0.25">
      <c r="B3" s="92" t="s">
        <v>35</v>
      </c>
      <c r="C3" s="92"/>
      <c r="D3" s="37" t="s">
        <v>36</v>
      </c>
      <c r="E3" s="37" t="s">
        <v>37</v>
      </c>
      <c r="F3" s="38" t="s">
        <v>38</v>
      </c>
    </row>
    <row r="4" spans="2:6" x14ac:dyDescent="0.25">
      <c r="B4" s="92"/>
      <c r="C4" s="92"/>
      <c r="D4" s="39">
        <v>0.78</v>
      </c>
      <c r="E4" s="39">
        <v>6.3140000000000001</v>
      </c>
      <c r="F4" s="39">
        <v>2</v>
      </c>
    </row>
    <row r="5" spans="2:6" x14ac:dyDescent="0.25">
      <c r="B5" s="37" t="s">
        <v>39</v>
      </c>
      <c r="C5" s="37" t="s">
        <v>40</v>
      </c>
      <c r="D5" s="37" t="s">
        <v>41</v>
      </c>
      <c r="E5" s="37" t="s">
        <v>42</v>
      </c>
      <c r="F5" s="37" t="s">
        <v>43</v>
      </c>
    </row>
    <row r="6" spans="2:6" x14ac:dyDescent="0.25">
      <c r="B6" s="37">
        <v>1</v>
      </c>
      <c r="C6" s="48">
        <v>14.791950253999998</v>
      </c>
      <c r="D6" s="40">
        <f>C6*C6</f>
        <v>218.80179231681061</v>
      </c>
      <c r="E6" s="37" t="s">
        <v>44</v>
      </c>
      <c r="F6" s="41">
        <f>C16/F4</f>
        <v>15.178046664999998</v>
      </c>
    </row>
    <row r="7" spans="2:6" x14ac:dyDescent="0.25">
      <c r="B7" s="37">
        <v>2</v>
      </c>
      <c r="C7" s="48">
        <v>15.564143075999999</v>
      </c>
      <c r="D7" s="40">
        <f>C7*C7</f>
        <v>242.2425496901987</v>
      </c>
      <c r="E7" s="37" t="s">
        <v>45</v>
      </c>
      <c r="F7" s="42">
        <f>(((D16)-((C16*C16)/F4))/(F4-1))</f>
        <v>0.2981408771741485</v>
      </c>
    </row>
    <row r="8" spans="2:6" x14ac:dyDescent="0.25">
      <c r="B8" s="37"/>
      <c r="C8" s="48"/>
      <c r="D8" s="40">
        <f>C8*C8</f>
        <v>0</v>
      </c>
      <c r="E8" s="37" t="s">
        <v>46</v>
      </c>
      <c r="F8" s="42">
        <f>SQRT(F7)</f>
        <v>0.54602278081976441</v>
      </c>
    </row>
    <row r="9" spans="2:6" x14ac:dyDescent="0.25">
      <c r="B9" s="37"/>
      <c r="C9" s="48"/>
      <c r="D9" s="40">
        <f t="shared" ref="D9:D15" si="0">C9*C9</f>
        <v>0</v>
      </c>
      <c r="E9" s="37" t="s">
        <v>47</v>
      </c>
      <c r="F9" s="42">
        <f>SQRT(((F7)/F4)*(1-((F4)/(D4*10))))</f>
        <v>0.33293730521792408</v>
      </c>
    </row>
    <row r="10" spans="2:6" x14ac:dyDescent="0.25">
      <c r="B10" s="37"/>
      <c r="C10" s="14"/>
      <c r="D10" s="40">
        <f t="shared" si="0"/>
        <v>0</v>
      </c>
      <c r="E10" s="37" t="s">
        <v>48</v>
      </c>
      <c r="F10" s="42">
        <f>F9*E4</f>
        <v>2.1021661451459726</v>
      </c>
    </row>
    <row r="11" spans="2:6" x14ac:dyDescent="0.25">
      <c r="B11" s="37"/>
      <c r="C11" s="43"/>
      <c r="D11" s="40">
        <f t="shared" si="0"/>
        <v>0</v>
      </c>
      <c r="E11" s="37" t="s">
        <v>48</v>
      </c>
      <c r="F11" s="44">
        <f>((F10)/F6)</f>
        <v>0.13850044024396685</v>
      </c>
    </row>
    <row r="12" spans="2:6" x14ac:dyDescent="0.25">
      <c r="B12" s="37"/>
      <c r="C12" s="43"/>
      <c r="D12" s="40">
        <f t="shared" si="0"/>
        <v>0</v>
      </c>
      <c r="E12" s="37" t="s">
        <v>49</v>
      </c>
      <c r="F12" s="42">
        <f>F6+F10</f>
        <v>17.280212810145972</v>
      </c>
    </row>
    <row r="13" spans="2:6" x14ac:dyDescent="0.25">
      <c r="B13" s="37"/>
      <c r="C13" s="43"/>
      <c r="D13" s="40">
        <f t="shared" si="0"/>
        <v>0</v>
      </c>
      <c r="E13" s="37" t="s">
        <v>50</v>
      </c>
      <c r="F13" s="42">
        <f>F6-F10</f>
        <v>13.075880519854026</v>
      </c>
    </row>
    <row r="14" spans="2:6" x14ac:dyDescent="0.25">
      <c r="B14" s="37"/>
      <c r="C14" s="43"/>
      <c r="D14" s="40">
        <f t="shared" si="0"/>
        <v>0</v>
      </c>
      <c r="E14" s="37"/>
      <c r="F14" s="42"/>
    </row>
    <row r="15" spans="2:6" x14ac:dyDescent="0.25">
      <c r="B15" s="37"/>
      <c r="C15" s="43"/>
      <c r="D15" s="40">
        <f t="shared" si="0"/>
        <v>0</v>
      </c>
      <c r="E15" s="37"/>
      <c r="F15" s="42"/>
    </row>
    <row r="16" spans="2:6" x14ac:dyDescent="0.25">
      <c r="B16" s="37" t="s">
        <v>51</v>
      </c>
      <c r="C16" s="45">
        <f>SUM(C6:C15)</f>
        <v>30.356093329999997</v>
      </c>
      <c r="D16" s="45">
        <f>SUM(D6:D15)</f>
        <v>461.04434200700928</v>
      </c>
      <c r="E16" s="37"/>
      <c r="F16" s="37"/>
    </row>
  </sheetData>
  <mergeCells count="1">
    <mergeCell ref="B3:C4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workbookViewId="0">
      <selection activeCell="A4" sqref="A4:G12"/>
    </sheetView>
  </sheetViews>
  <sheetFormatPr baseColWidth="10" defaultRowHeight="15" x14ac:dyDescent="0.25"/>
  <cols>
    <col min="1" max="1" width="21.42578125" customWidth="1"/>
    <col min="2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8" x14ac:dyDescent="0.25">
      <c r="B3" s="4" t="s">
        <v>16</v>
      </c>
    </row>
    <row r="4" spans="1:8" ht="45" x14ac:dyDescent="0.25">
      <c r="A4" s="50" t="s">
        <v>34</v>
      </c>
      <c r="B4" s="32" t="s">
        <v>15</v>
      </c>
      <c r="C4" s="32" t="s">
        <v>17</v>
      </c>
      <c r="D4" s="32" t="s">
        <v>18</v>
      </c>
      <c r="E4" s="32" t="s">
        <v>19</v>
      </c>
      <c r="F4" s="50" t="s">
        <v>20</v>
      </c>
      <c r="G4" s="36" t="s">
        <v>33</v>
      </c>
    </row>
    <row r="5" spans="1:8" x14ac:dyDescent="0.25">
      <c r="A5" s="46" t="s">
        <v>54</v>
      </c>
      <c r="B5" s="27">
        <v>10</v>
      </c>
      <c r="C5" s="28">
        <v>13.5</v>
      </c>
      <c r="D5" s="28">
        <v>12</v>
      </c>
      <c r="E5" s="28">
        <v>0.14313915000000002</v>
      </c>
      <c r="F5" s="47">
        <v>2.1003057899999997</v>
      </c>
      <c r="G5" s="17">
        <f>F5*0.78</f>
        <v>1.6382385161999999</v>
      </c>
    </row>
    <row r="6" spans="1:8" x14ac:dyDescent="0.25">
      <c r="A6" s="6" t="s">
        <v>52</v>
      </c>
      <c r="B6" s="27">
        <v>10</v>
      </c>
      <c r="C6" s="28">
        <v>13.5</v>
      </c>
      <c r="D6" s="28">
        <v>12</v>
      </c>
      <c r="E6" s="28">
        <v>0.14313915000000002</v>
      </c>
      <c r="F6" s="47">
        <v>2.1003057899999997</v>
      </c>
      <c r="G6" s="72">
        <f t="shared" ref="G6:G12" si="0">F6*0.78</f>
        <v>1.6382385161999999</v>
      </c>
    </row>
    <row r="7" spans="1:8" x14ac:dyDescent="0.25">
      <c r="A7" s="46" t="s">
        <v>66</v>
      </c>
      <c r="B7" s="27">
        <v>10</v>
      </c>
      <c r="C7" s="28">
        <v>12</v>
      </c>
      <c r="D7" s="28">
        <v>7</v>
      </c>
      <c r="E7" s="28">
        <v>0.11309759999999999</v>
      </c>
      <c r="F7" s="47">
        <v>1.5520825799999998</v>
      </c>
      <c r="G7" s="17">
        <f t="shared" si="0"/>
        <v>1.2106244123999998</v>
      </c>
    </row>
    <row r="8" spans="1:8" x14ac:dyDescent="0.25">
      <c r="A8" s="6" t="s">
        <v>52</v>
      </c>
      <c r="B8" s="27">
        <v>10</v>
      </c>
      <c r="C8" s="28">
        <v>12</v>
      </c>
      <c r="D8" s="28">
        <v>7</v>
      </c>
      <c r="E8" s="28">
        <v>0.11309759999999999</v>
      </c>
      <c r="F8" s="47">
        <v>1.5520825799999998</v>
      </c>
      <c r="G8" s="72">
        <f t="shared" si="0"/>
        <v>1.2106244123999998</v>
      </c>
    </row>
    <row r="9" spans="1:8" x14ac:dyDescent="0.25">
      <c r="A9" s="46" t="s">
        <v>67</v>
      </c>
      <c r="B9" s="27">
        <v>200</v>
      </c>
      <c r="C9" s="28">
        <v>17</v>
      </c>
      <c r="D9" s="28">
        <v>13.5</v>
      </c>
      <c r="E9" s="28">
        <v>4.7925107999999996</v>
      </c>
      <c r="F9" s="47">
        <v>26.703704959999996</v>
      </c>
      <c r="G9" s="17">
        <f t="shared" si="0"/>
        <v>20.828889868799997</v>
      </c>
    </row>
    <row r="10" spans="1:8" x14ac:dyDescent="0.25">
      <c r="A10" s="6" t="s">
        <v>52</v>
      </c>
      <c r="B10" s="27">
        <v>150</v>
      </c>
      <c r="C10" s="28">
        <v>15.133333333333333</v>
      </c>
      <c r="D10" s="28">
        <v>12.266666666666667</v>
      </c>
      <c r="E10" s="28">
        <v>2.7669641999999999</v>
      </c>
      <c r="F10" s="47">
        <v>13.666840395999998</v>
      </c>
      <c r="G10" s="72">
        <f t="shared" si="0"/>
        <v>10.660135508879998</v>
      </c>
    </row>
    <row r="11" spans="1:8" x14ac:dyDescent="0.25">
      <c r="A11" s="6" t="s">
        <v>53</v>
      </c>
      <c r="B11" s="27">
        <v>50</v>
      </c>
      <c r="C11" s="28">
        <v>22.6</v>
      </c>
      <c r="D11" s="28">
        <v>17.2</v>
      </c>
      <c r="E11" s="28">
        <v>2.0255466000000002</v>
      </c>
      <c r="F11" s="47">
        <v>13.036864563999996</v>
      </c>
      <c r="G11" s="72">
        <f>F11*0.78</f>
        <v>10.168754359919998</v>
      </c>
      <c r="H11" s="53"/>
    </row>
    <row r="12" spans="1:8" x14ac:dyDescent="0.25">
      <c r="A12" s="81" t="s">
        <v>13</v>
      </c>
      <c r="B12" s="82">
        <v>220</v>
      </c>
      <c r="C12" s="83">
        <v>16.613636363636363</v>
      </c>
      <c r="D12" s="83">
        <v>13.136363636363637</v>
      </c>
      <c r="E12" s="83">
        <v>5.0487475499999999</v>
      </c>
      <c r="F12" s="84">
        <v>30.35609333</v>
      </c>
      <c r="G12" s="85">
        <f t="shared" si="0"/>
        <v>23.6777527974</v>
      </c>
      <c r="H12" s="53"/>
    </row>
    <row r="13" spans="1:8" x14ac:dyDescent="0.25">
      <c r="F13" s="53"/>
      <c r="G13" s="53"/>
      <c r="H13" s="53"/>
    </row>
  </sheetData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</vt:lpstr>
      <vt:lpstr>% de abundancia</vt:lpstr>
      <vt:lpstr>cuadro 3</vt:lpstr>
      <vt:lpstr>anexo 2</vt:lpstr>
      <vt:lpstr>analisis</vt:lpstr>
      <vt:lpstr>anexo 3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DangerGo</cp:lastModifiedBy>
  <cp:lastPrinted>2013-10-30T04:25:04Z</cp:lastPrinted>
  <dcterms:created xsi:type="dcterms:W3CDTF">2013-02-20T15:36:32Z</dcterms:created>
  <dcterms:modified xsi:type="dcterms:W3CDTF">2017-03-26T23:58:21Z</dcterms:modified>
</cp:coreProperties>
</file>