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CARBONO_REDD+GT\ASINFOR\HENRY_LOPEZ_IF_2013\"/>
    </mc:Choice>
  </mc:AlternateContent>
  <bookViews>
    <workbookView xWindow="240" yWindow="75" windowWidth="15480" windowHeight="7995" tabRatio="697" activeTab="7"/>
  </bookViews>
  <sheets>
    <sheet name="base de datos" sheetId="1" r:id="rId1"/>
    <sheet name="% de abundancia" sheetId="4" r:id="rId2"/>
    <sheet name="cuadro 3" sheetId="5" r:id="rId3"/>
    <sheet name="anexo 2" sheetId="6" r:id="rId4"/>
    <sheet name="anexo 3" sheetId="7" r:id="rId5"/>
    <sheet name="analisis" sheetId="2" r:id="rId6"/>
    <sheet name="punto de referencia" sheetId="8" r:id="rId7"/>
    <sheet name="parcelas" sheetId="9" r:id="rId8"/>
  </sheets>
  <definedNames>
    <definedName name="_xlnm._FilterDatabase" localSheetId="0" hidden="1">'base de datos'!$A$1:$L$96</definedName>
  </definedNames>
  <calcPr calcId="152511"/>
  <pivotCaches>
    <pivotCache cacheId="65" r:id="rId9"/>
    <pivotCache cacheId="66" r:id="rId10"/>
  </pivotCaches>
</workbook>
</file>

<file path=xl/calcChain.xml><?xml version="1.0" encoding="utf-8"?>
<calcChain xmlns="http://schemas.openxmlformats.org/spreadsheetml/2006/main">
  <c r="E11" i="9" l="1"/>
  <c r="E10" i="9"/>
  <c r="E9" i="9"/>
  <c r="E8" i="9"/>
  <c r="E7" i="9"/>
  <c r="E6" i="9"/>
  <c r="E5" i="9"/>
  <c r="E4" i="9"/>
  <c r="E3" i="9"/>
  <c r="E2" i="9"/>
  <c r="G6" i="7" l="1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5" i="7"/>
  <c r="G13" i="6"/>
  <c r="G14" i="6"/>
  <c r="G15" i="6"/>
  <c r="J3" i="1"/>
  <c r="J90" i="1"/>
  <c r="J88" i="1"/>
  <c r="J87" i="1"/>
  <c r="J86" i="1"/>
  <c r="J85" i="1"/>
  <c r="J84" i="1"/>
  <c r="J83" i="1"/>
  <c r="J82" i="1"/>
  <c r="J46" i="1"/>
  <c r="J45" i="1"/>
  <c r="J6" i="1"/>
  <c r="J5" i="1"/>
  <c r="J95" i="1"/>
  <c r="J94" i="1"/>
  <c r="J93" i="1"/>
  <c r="J92" i="1"/>
  <c r="J91" i="1"/>
  <c r="J89" i="1"/>
  <c r="J81" i="1"/>
  <c r="J80" i="1"/>
  <c r="J79" i="1"/>
  <c r="J78" i="1"/>
  <c r="J77" i="1"/>
  <c r="J75" i="1"/>
  <c r="J74" i="1"/>
  <c r="J73" i="1"/>
  <c r="J72" i="1"/>
  <c r="J71" i="1"/>
  <c r="J70" i="1"/>
  <c r="J68" i="1"/>
  <c r="J66" i="1"/>
  <c r="J64" i="1"/>
  <c r="J63" i="1"/>
  <c r="J61" i="1"/>
  <c r="J60" i="1"/>
  <c r="J58" i="1"/>
  <c r="J55" i="1"/>
  <c r="J51" i="1"/>
  <c r="J50" i="1"/>
  <c r="J49" i="1"/>
  <c r="J48" i="1"/>
  <c r="J42" i="1"/>
  <c r="J41" i="1"/>
  <c r="J35" i="1"/>
  <c r="J33" i="1"/>
  <c r="J30" i="1"/>
  <c r="J23" i="1"/>
  <c r="J22" i="1"/>
  <c r="J21" i="1"/>
  <c r="J20" i="1"/>
  <c r="J15" i="1"/>
  <c r="J14" i="1"/>
  <c r="J12" i="1"/>
  <c r="J11" i="1"/>
  <c r="J10" i="1"/>
  <c r="J9" i="1"/>
  <c r="J8" i="1"/>
  <c r="J7" i="1"/>
  <c r="J4" i="1"/>
  <c r="J96" i="1"/>
  <c r="J76" i="1"/>
  <c r="J69" i="1"/>
  <c r="J67" i="1"/>
  <c r="J65" i="1"/>
  <c r="J62" i="1"/>
  <c r="J59" i="1"/>
  <c r="J57" i="1"/>
  <c r="J56" i="1"/>
  <c r="J54" i="1"/>
  <c r="J53" i="1"/>
  <c r="J52" i="1"/>
  <c r="J47" i="1"/>
  <c r="J44" i="1"/>
  <c r="J43" i="1"/>
  <c r="J40" i="1"/>
  <c r="J39" i="1"/>
  <c r="J38" i="1"/>
  <c r="J37" i="1"/>
  <c r="J36" i="1"/>
  <c r="J34" i="1"/>
  <c r="J32" i="1"/>
  <c r="J31" i="1"/>
  <c r="J29" i="1"/>
  <c r="J28" i="1"/>
  <c r="J27" i="1"/>
  <c r="J26" i="1"/>
  <c r="J25" i="1"/>
  <c r="J24" i="1"/>
  <c r="J19" i="1"/>
  <c r="J18" i="1"/>
  <c r="J17" i="1"/>
  <c r="J16" i="1"/>
  <c r="J13" i="1"/>
  <c r="J2" i="1"/>
  <c r="H95" i="1"/>
  <c r="H94" i="1"/>
  <c r="H93" i="1"/>
  <c r="H92" i="1"/>
  <c r="H91" i="1"/>
  <c r="H89" i="1"/>
  <c r="H81" i="1"/>
  <c r="H80" i="1"/>
  <c r="H79" i="1"/>
  <c r="H78" i="1"/>
  <c r="H77" i="1"/>
  <c r="H75" i="1"/>
  <c r="H74" i="1"/>
  <c r="H73" i="1"/>
  <c r="H72" i="1"/>
  <c r="H71" i="1"/>
  <c r="H70" i="1"/>
  <c r="H68" i="1"/>
  <c r="H66" i="1"/>
  <c r="H64" i="1"/>
  <c r="H63" i="1"/>
  <c r="H61" i="1"/>
  <c r="H60" i="1"/>
  <c r="H58" i="1"/>
  <c r="H55" i="1"/>
  <c r="H51" i="1"/>
  <c r="H50" i="1"/>
  <c r="H49" i="1"/>
  <c r="H48" i="1"/>
  <c r="H42" i="1"/>
  <c r="H41" i="1"/>
  <c r="H35" i="1"/>
  <c r="H33" i="1"/>
  <c r="H30" i="1"/>
  <c r="H23" i="1"/>
  <c r="H22" i="1"/>
  <c r="H21" i="1"/>
  <c r="H20" i="1"/>
  <c r="H15" i="1"/>
  <c r="H14" i="1"/>
  <c r="H12" i="1"/>
  <c r="H11" i="1"/>
  <c r="H10" i="1"/>
  <c r="H9" i="1"/>
  <c r="H8" i="1"/>
  <c r="H7" i="1"/>
  <c r="H4" i="1"/>
  <c r="H13" i="1"/>
  <c r="H16" i="1"/>
  <c r="H17" i="1"/>
  <c r="H18" i="1"/>
  <c r="H69" i="1"/>
  <c r="H67" i="1"/>
  <c r="H65" i="1"/>
  <c r="H62" i="1"/>
  <c r="H59" i="1"/>
  <c r="H57" i="1"/>
  <c r="H56" i="1"/>
  <c r="H54" i="1"/>
  <c r="H53" i="1"/>
  <c r="H28" i="1"/>
  <c r="H27" i="1"/>
  <c r="H26" i="1"/>
  <c r="H29" i="1"/>
  <c r="H31" i="1"/>
  <c r="G7" i="6"/>
  <c r="G8" i="6"/>
  <c r="G9" i="6"/>
  <c r="G10" i="6"/>
  <c r="G11" i="6"/>
  <c r="G12" i="6"/>
  <c r="G6" i="6"/>
  <c r="G5" i="6"/>
  <c r="H96" i="1"/>
  <c r="H90" i="1"/>
  <c r="H88" i="1"/>
  <c r="H87" i="1"/>
  <c r="H86" i="1"/>
  <c r="F15" i="5"/>
  <c r="E14" i="5"/>
  <c r="G14" i="5"/>
  <c r="H15" i="5"/>
  <c r="G15" i="5"/>
  <c r="I16" i="5"/>
  <c r="E16" i="5"/>
  <c r="F14" i="5"/>
  <c r="E16" i="4"/>
  <c r="E15" i="4"/>
  <c r="G16" i="5"/>
  <c r="I14" i="5"/>
  <c r="I15" i="5"/>
  <c r="E15" i="5"/>
  <c r="H16" i="5"/>
  <c r="E14" i="4"/>
  <c r="H14" i="5"/>
  <c r="F16" i="5"/>
  <c r="D16" i="5" l="1"/>
  <c r="D15" i="5"/>
  <c r="D14" i="5"/>
  <c r="D16" i="4"/>
  <c r="D15" i="4"/>
  <c r="D14" i="4"/>
  <c r="C16" i="4"/>
  <c r="C15" i="4"/>
  <c r="C14" i="4"/>
  <c r="H82" i="1"/>
  <c r="H83" i="1"/>
  <c r="H84" i="1"/>
  <c r="H85" i="1"/>
  <c r="J15" i="5" l="1"/>
  <c r="J16" i="5"/>
  <c r="E17" i="4"/>
  <c r="F14" i="4" s="1"/>
  <c r="H3" i="1"/>
  <c r="O3" i="1"/>
  <c r="H76" i="1"/>
  <c r="H40" i="1"/>
  <c r="L7" i="5"/>
  <c r="C16" i="2"/>
  <c r="F6" i="2" s="1"/>
  <c r="D15" i="2"/>
  <c r="D14" i="2"/>
  <c r="D13" i="2"/>
  <c r="D12" i="2"/>
  <c r="D11" i="2"/>
  <c r="D10" i="2"/>
  <c r="D9" i="2"/>
  <c r="D8" i="2"/>
  <c r="D7" i="2"/>
  <c r="D6" i="2"/>
  <c r="H5" i="1"/>
  <c r="H6" i="1"/>
  <c r="H19" i="1"/>
  <c r="H24" i="1"/>
  <c r="H25" i="1"/>
  <c r="H32" i="1"/>
  <c r="H34" i="1"/>
  <c r="H36" i="1"/>
  <c r="H37" i="1"/>
  <c r="H38" i="1"/>
  <c r="H39" i="1"/>
  <c r="H43" i="1"/>
  <c r="H44" i="1"/>
  <c r="H45" i="1"/>
  <c r="H46" i="1"/>
  <c r="H47" i="1"/>
  <c r="H52" i="1"/>
  <c r="H2" i="1"/>
  <c r="F17" i="5"/>
  <c r="I17" i="5"/>
  <c r="H17" i="5"/>
  <c r="G17" i="5"/>
  <c r="L94" i="1" l="1"/>
  <c r="L92" i="1"/>
  <c r="L91" i="1"/>
  <c r="L81" i="1"/>
  <c r="L78" i="1"/>
  <c r="L75" i="1"/>
  <c r="L73" i="1"/>
  <c r="L71" i="1"/>
  <c r="L68" i="1"/>
  <c r="L66" i="1"/>
  <c r="L63" i="1"/>
  <c r="L60" i="1"/>
  <c r="L55" i="1"/>
  <c r="L50" i="1"/>
  <c r="L49" i="1"/>
  <c r="L41" i="1"/>
  <c r="L33" i="1"/>
  <c r="L23" i="1"/>
  <c r="L21" i="1"/>
  <c r="L15" i="1"/>
  <c r="L12" i="1"/>
  <c r="L10" i="1"/>
  <c r="L8" i="1"/>
  <c r="L4" i="1"/>
  <c r="L95" i="1"/>
  <c r="K94" i="1"/>
  <c r="I94" i="1"/>
  <c r="L93" i="1"/>
  <c r="K92" i="1"/>
  <c r="L89" i="1"/>
  <c r="L80" i="1"/>
  <c r="L79" i="1"/>
  <c r="L77" i="1"/>
  <c r="L74" i="1"/>
  <c r="L72" i="1"/>
  <c r="L70" i="1"/>
  <c r="L64" i="1"/>
  <c r="L61" i="1"/>
  <c r="L58" i="1"/>
  <c r="L51" i="1"/>
  <c r="L48" i="1"/>
  <c r="L42" i="1"/>
  <c r="L35" i="1"/>
  <c r="L30" i="1"/>
  <c r="L22" i="1"/>
  <c r="L20" i="1"/>
  <c r="L14" i="1"/>
  <c r="L11" i="1"/>
  <c r="L9" i="1"/>
  <c r="L7" i="1"/>
  <c r="K50" i="1"/>
  <c r="K71" i="1"/>
  <c r="K75" i="1"/>
  <c r="K80" i="1"/>
  <c r="I73" i="1"/>
  <c r="I78" i="1"/>
  <c r="I7" i="1"/>
  <c r="I9" i="1"/>
  <c r="I11" i="1"/>
  <c r="I14" i="1"/>
  <c r="I20" i="1"/>
  <c r="I22" i="1"/>
  <c r="I30" i="1"/>
  <c r="I35" i="1"/>
  <c r="I42" i="1"/>
  <c r="I50" i="1"/>
  <c r="K55" i="1"/>
  <c r="K60" i="1"/>
  <c r="K63" i="1"/>
  <c r="K66" i="1"/>
  <c r="I70" i="1"/>
  <c r="I74" i="1"/>
  <c r="I79" i="1"/>
  <c r="I89" i="1"/>
  <c r="I92" i="1"/>
  <c r="I95" i="1"/>
  <c r="K7" i="1"/>
  <c r="K9" i="1"/>
  <c r="K11" i="1"/>
  <c r="K14" i="1"/>
  <c r="K20" i="1"/>
  <c r="K22" i="1"/>
  <c r="K30" i="1"/>
  <c r="K35" i="1"/>
  <c r="K42" i="1"/>
  <c r="I49" i="1"/>
  <c r="I55" i="1"/>
  <c r="I60" i="1"/>
  <c r="I63" i="1"/>
  <c r="I66" i="1"/>
  <c r="K72" i="1"/>
  <c r="K77" i="1"/>
  <c r="I80" i="1"/>
  <c r="K89" i="1"/>
  <c r="K93" i="1"/>
  <c r="K48" i="1"/>
  <c r="K68" i="1"/>
  <c r="K73" i="1"/>
  <c r="K78" i="1"/>
  <c r="I71" i="1"/>
  <c r="I75" i="1"/>
  <c r="K4" i="1"/>
  <c r="K8" i="1"/>
  <c r="K10" i="1"/>
  <c r="K12" i="1"/>
  <c r="K15" i="1"/>
  <c r="K21" i="1"/>
  <c r="K23" i="1"/>
  <c r="K33" i="1"/>
  <c r="K41" i="1"/>
  <c r="K49" i="1"/>
  <c r="I51" i="1"/>
  <c r="I58" i="1"/>
  <c r="I61" i="1"/>
  <c r="I64" i="1"/>
  <c r="I68" i="1"/>
  <c r="I72" i="1"/>
  <c r="I77" i="1"/>
  <c r="K81" i="1"/>
  <c r="K91" i="1"/>
  <c r="I93" i="1"/>
  <c r="I4" i="1"/>
  <c r="I8" i="1"/>
  <c r="I10" i="1"/>
  <c r="I12" i="1"/>
  <c r="I15" i="1"/>
  <c r="I21" i="1"/>
  <c r="I23" i="1"/>
  <c r="I33" i="1"/>
  <c r="I41" i="1"/>
  <c r="I48" i="1"/>
  <c r="K51" i="1"/>
  <c r="K58" i="1"/>
  <c r="K61" i="1"/>
  <c r="K64" i="1"/>
  <c r="K70" i="1"/>
  <c r="K74" i="1"/>
  <c r="K79" i="1"/>
  <c r="I81" i="1"/>
  <c r="I91" i="1"/>
  <c r="K95" i="1"/>
  <c r="L57" i="1"/>
  <c r="L62" i="1"/>
  <c r="L16" i="1"/>
  <c r="L18" i="1"/>
  <c r="L56" i="1"/>
  <c r="K57" i="1"/>
  <c r="L59" i="1"/>
  <c r="L65" i="1"/>
  <c r="L67" i="1"/>
  <c r="L69" i="1"/>
  <c r="L13" i="1"/>
  <c r="I16" i="1"/>
  <c r="K16" i="1"/>
  <c r="L17" i="1"/>
  <c r="I18" i="1"/>
  <c r="K18" i="1"/>
  <c r="K59" i="1"/>
  <c r="K62" i="1"/>
  <c r="K17" i="1"/>
  <c r="K13" i="1"/>
  <c r="K69" i="1"/>
  <c r="K67" i="1"/>
  <c r="K65" i="1"/>
  <c r="I17" i="1"/>
  <c r="I13" i="1"/>
  <c r="K56" i="1"/>
  <c r="I67" i="1"/>
  <c r="I65" i="1"/>
  <c r="I69" i="1"/>
  <c r="I59" i="1"/>
  <c r="I57" i="1"/>
  <c r="I62" i="1"/>
  <c r="I56" i="1"/>
  <c r="L53" i="1"/>
  <c r="I54" i="1"/>
  <c r="I53" i="1"/>
  <c r="L54" i="1"/>
  <c r="K54" i="1"/>
  <c r="K53" i="1"/>
  <c r="L26" i="1"/>
  <c r="L28" i="1"/>
  <c r="L27" i="1"/>
  <c r="I27" i="1"/>
  <c r="I26" i="1"/>
  <c r="K27" i="1"/>
  <c r="K26" i="1"/>
  <c r="K28" i="1"/>
  <c r="I28" i="1"/>
  <c r="L29" i="1"/>
  <c r="L31" i="1"/>
  <c r="I29" i="1"/>
  <c r="K29" i="1"/>
  <c r="I31" i="1"/>
  <c r="K31" i="1"/>
  <c r="K96" i="1"/>
  <c r="I96" i="1"/>
  <c r="L96" i="1"/>
  <c r="L88" i="1"/>
  <c r="L86" i="1"/>
  <c r="I88" i="1"/>
  <c r="I86" i="1"/>
  <c r="L90" i="1"/>
  <c r="L87" i="1"/>
  <c r="I90" i="1"/>
  <c r="I87" i="1"/>
  <c r="K88" i="1"/>
  <c r="K90" i="1"/>
  <c r="K86" i="1"/>
  <c r="K87" i="1"/>
  <c r="I52" i="1"/>
  <c r="I47" i="1"/>
  <c r="I45" i="1"/>
  <c r="I43" i="1"/>
  <c r="I38" i="1"/>
  <c r="I36" i="1"/>
  <c r="I34" i="1"/>
  <c r="I32" i="1"/>
  <c r="I24" i="1"/>
  <c r="I19" i="1"/>
  <c r="I5" i="1"/>
  <c r="D16" i="2"/>
  <c r="F7" i="2" s="1"/>
  <c r="F9" i="2" s="1"/>
  <c r="F10" i="2" s="1"/>
  <c r="F11" i="2" s="1"/>
  <c r="J17" i="5"/>
  <c r="F15" i="4"/>
  <c r="F16" i="4"/>
  <c r="L82" i="1"/>
  <c r="L84" i="1"/>
  <c r="L83" i="1"/>
  <c r="L85" i="1"/>
  <c r="K84" i="1"/>
  <c r="I85" i="1"/>
  <c r="K83" i="1"/>
  <c r="I84" i="1"/>
  <c r="K82" i="1"/>
  <c r="I83" i="1"/>
  <c r="K85" i="1"/>
  <c r="I82" i="1"/>
  <c r="K6" i="1"/>
  <c r="K25" i="1"/>
  <c r="K37" i="1"/>
  <c r="K39" i="1"/>
  <c r="K44" i="1"/>
  <c r="K46" i="1"/>
  <c r="K3" i="1"/>
  <c r="K5" i="1"/>
  <c r="K19" i="1"/>
  <c r="K24" i="1"/>
  <c r="K32" i="1"/>
  <c r="K34" i="1"/>
  <c r="K36" i="1"/>
  <c r="K38" i="1"/>
  <c r="K40" i="1"/>
  <c r="K43" i="1"/>
  <c r="K45" i="1"/>
  <c r="K47" i="1"/>
  <c r="K52" i="1"/>
  <c r="K76" i="1"/>
  <c r="K2" i="1"/>
  <c r="I76" i="1"/>
  <c r="I2" i="1"/>
  <c r="I46" i="1"/>
  <c r="I44" i="1"/>
  <c r="I39" i="1"/>
  <c r="I37" i="1"/>
  <c r="I25" i="1"/>
  <c r="I6" i="1"/>
  <c r="I40" i="1"/>
  <c r="I3" i="1"/>
  <c r="L76" i="1"/>
  <c r="L52" i="1"/>
  <c r="L47" i="1"/>
  <c r="L45" i="1"/>
  <c r="L43" i="1"/>
  <c r="L39" i="1"/>
  <c r="L37" i="1"/>
  <c r="L25" i="1"/>
  <c r="L19" i="1"/>
  <c r="L5" i="1"/>
  <c r="L3" i="1"/>
  <c r="L2" i="1"/>
  <c r="L46" i="1"/>
  <c r="L44" i="1"/>
  <c r="L40" i="1"/>
  <c r="L38" i="1"/>
  <c r="L36" i="1"/>
  <c r="L34" i="1"/>
  <c r="L32" i="1"/>
  <c r="L24" i="1"/>
  <c r="L6" i="1"/>
  <c r="E17" i="5"/>
  <c r="J14" i="5"/>
  <c r="F17" i="4" l="1"/>
  <c r="F8" i="2"/>
  <c r="F13" i="2"/>
  <c r="F12" i="2"/>
</calcChain>
</file>

<file path=xl/sharedStrings.xml><?xml version="1.0" encoding="utf-8"?>
<sst xmlns="http://schemas.openxmlformats.org/spreadsheetml/2006/main" count="423" uniqueCount="78">
  <si>
    <t>Parcela</t>
  </si>
  <si>
    <t>No. Arbol</t>
  </si>
  <si>
    <t>Nombre común</t>
  </si>
  <si>
    <t>Especie</t>
  </si>
  <si>
    <t>Clase diámetrica</t>
  </si>
  <si>
    <t>DAP (cm)</t>
  </si>
  <si>
    <t>Altura (m)</t>
  </si>
  <si>
    <t>Area Basal (m2)</t>
  </si>
  <si>
    <t>AB/Ha.</t>
  </si>
  <si>
    <t>Volumen (m3)</t>
  </si>
  <si>
    <t>Volumen/Ha.</t>
  </si>
  <si>
    <t>Densidad/Ha.</t>
  </si>
  <si>
    <t>Total general</t>
  </si>
  <si>
    <t>Cuenta de No. Arbol</t>
  </si>
  <si>
    <t>Suma de Densidad/Ha.</t>
  </si>
  <si>
    <t>Valores</t>
  </si>
  <si>
    <t>Promedio de DAP (cm)</t>
  </si>
  <si>
    <t>Promedio de Altura (m)</t>
  </si>
  <si>
    <t>Suma de AB/Ha.</t>
  </si>
  <si>
    <t>Suma de Volumen/Ha.</t>
  </si>
  <si>
    <t>No.</t>
  </si>
  <si>
    <t>NOMBRE COMUN</t>
  </si>
  <si>
    <t>ESPECIE</t>
  </si>
  <si>
    <t>PRESENCIA</t>
  </si>
  <si>
    <t>% DE ABUNDANCIA</t>
  </si>
  <si>
    <t>Total General</t>
  </si>
  <si>
    <t>Rodal</t>
  </si>
  <si>
    <t>Área (has)</t>
  </si>
  <si>
    <r>
      <t>Volumen m</t>
    </r>
    <r>
      <rPr>
        <b/>
        <sz val="11"/>
        <color theme="1"/>
        <rFont val="Calibri"/>
        <family val="2"/>
      </rPr>
      <t>³</t>
    </r>
  </si>
  <si>
    <t>Ha.</t>
  </si>
  <si>
    <t>Volumen/ Rodal</t>
  </si>
  <si>
    <t>No. De Parcela</t>
  </si>
  <si>
    <t>Volumen Total</t>
  </si>
  <si>
    <t>Especie y Clase Diametrica</t>
  </si>
  <si>
    <t>ANALISIS ESTADISTICO</t>
  </si>
  <si>
    <t>AREA (Ha.)</t>
  </si>
  <si>
    <t>VALOR DE T</t>
  </si>
  <si>
    <t>No. PARCELAS</t>
  </si>
  <si>
    <t>PARCELA</t>
  </si>
  <si>
    <t>VOLUMEN/ha</t>
  </si>
  <si>
    <t>(VOLUMEN)²</t>
  </si>
  <si>
    <t>PARAMETRO</t>
  </si>
  <si>
    <t>RESULTADO</t>
  </si>
  <si>
    <t>MEDIA ARITMETICA</t>
  </si>
  <si>
    <t xml:space="preserve">VARIANZA </t>
  </si>
  <si>
    <t>DESVIACION ESTANDAR</t>
  </si>
  <si>
    <t>ERROR ESTANDAR</t>
  </si>
  <si>
    <t>ERROR DE MUESTREO</t>
  </si>
  <si>
    <t xml:space="preserve">LIMITE SUPERIOR </t>
  </si>
  <si>
    <t>LIMITE INFERIOR</t>
  </si>
  <si>
    <t>TOTAL</t>
  </si>
  <si>
    <t>10 - 19.9</t>
  </si>
  <si>
    <t>20 - 29.9</t>
  </si>
  <si>
    <t>area</t>
  </si>
  <si>
    <t>ha.</t>
  </si>
  <si>
    <t>mts.</t>
  </si>
  <si>
    <t>Ciprés</t>
  </si>
  <si>
    <t>Cupresus lusitanica</t>
  </si>
  <si>
    <t>30 - 39.9</t>
  </si>
  <si>
    <t>Pino triste</t>
  </si>
  <si>
    <t>40 - 49.9</t>
  </si>
  <si>
    <t xml:space="preserve">Chulube </t>
  </si>
  <si>
    <t>60 - 69.9</t>
  </si>
  <si>
    <t>Rótulos de fila</t>
  </si>
  <si>
    <t>Arbutus xalapensis</t>
  </si>
  <si>
    <t>Pinus pseudostrobus</t>
  </si>
  <si>
    <t>X</t>
  </si>
  <si>
    <t>Y</t>
  </si>
  <si>
    <t>Ramón Carrillo</t>
  </si>
  <si>
    <t>AREA PARCELA</t>
  </si>
  <si>
    <t>AREA TOTAL</t>
  </si>
  <si>
    <t>FECHA</t>
  </si>
  <si>
    <t>PROPIETARIO</t>
  </si>
  <si>
    <t>BASE_DATOS</t>
  </si>
  <si>
    <t>AÑO</t>
  </si>
  <si>
    <t>MUNICIPIO</t>
  </si>
  <si>
    <t>DEPTO</t>
  </si>
  <si>
    <t>BD12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</si>
</sst>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\ &quot;m³&quot;"/>
  </numFmts>
  <fonts count="11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11"/>
      <color rgb="FFFF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Border="1"/>
    <xf numFmtId="0" fontId="2" fillId="4" borderId="1" xfId="0" applyFont="1" applyFill="1" applyBorder="1" applyAlignment="1">
      <alignment horizontal="left"/>
    </xf>
    <xf numFmtId="1" fontId="2" fillId="4" borderId="1" xfId="0" applyNumberFormat="1" applyFont="1" applyFill="1" applyBorder="1"/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1" fontId="2" fillId="5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1" fontId="0" fillId="5" borderId="1" xfId="0" applyNumberFormat="1" applyFill="1" applyBorder="1" applyAlignment="1">
      <alignment horizontal="center" wrapText="1"/>
    </xf>
    <xf numFmtId="2" fontId="0" fillId="5" borderId="1" xfId="0" applyNumberFormat="1" applyFill="1" applyBorder="1" applyAlignment="1">
      <alignment horizontal="center" wrapText="1"/>
    </xf>
    <xf numFmtId="2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/>
    </xf>
    <xf numFmtId="0" fontId="5" fillId="0" borderId="1" xfId="1" applyFont="1" applyBorder="1"/>
    <xf numFmtId="0" fontId="5" fillId="7" borderId="1" xfId="1" applyFont="1" applyFill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10" fontId="6" fillId="8" borderId="1" xfId="2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2" fontId="0" fillId="5" borderId="2" xfId="0" applyNumberFormat="1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5" borderId="2" xfId="0" applyFill="1" applyBorder="1" applyAlignment="1">
      <alignment horizontal="left"/>
    </xf>
    <xf numFmtId="0" fontId="0" fillId="3" borderId="0" xfId="0" applyFill="1" applyBorder="1"/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7" fillId="9" borderId="0" xfId="0" applyFont="1" applyFill="1" applyBorder="1"/>
    <xf numFmtId="0" fontId="0" fillId="11" borderId="0" xfId="0" applyFill="1" applyBorder="1"/>
    <xf numFmtId="0" fontId="0" fillId="10" borderId="0" xfId="0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wrapText="1"/>
    </xf>
    <xf numFmtId="2" fontId="0" fillId="5" borderId="2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2" fontId="0" fillId="0" borderId="1" xfId="0" applyNumberFormat="1" applyFont="1" applyBorder="1"/>
    <xf numFmtId="0" fontId="8" fillId="0" borderId="1" xfId="0" applyFont="1" applyBorder="1"/>
    <xf numFmtId="0" fontId="0" fillId="0" borderId="1" xfId="0" applyFill="1" applyBorder="1"/>
    <xf numFmtId="0" fontId="0" fillId="0" borderId="3" xfId="0" applyFont="1" applyFill="1" applyBorder="1" applyAlignment="1">
      <alignment horizontal="center" vertical="center"/>
    </xf>
    <xf numFmtId="17" fontId="0" fillId="0" borderId="0" xfId="0" applyNumberFormat="1"/>
    <xf numFmtId="0" fontId="9" fillId="1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</cellXfs>
  <cellStyles count="3">
    <cellStyle name="Normal" xfId="0" builtinId="0"/>
    <cellStyle name="Normal 2" xfId="1"/>
    <cellStyle name="Porcentaje 2" xfId="2"/>
  </cellStyles>
  <dxfs count="40">
    <dxf>
      <border>
        <bottom style="thin">
          <color indexed="64"/>
        </bottom>
        <horizontal style="thin">
          <color indexed="64"/>
        </horizontal>
      </border>
    </dxf>
    <dxf>
      <alignment horizontal="center" readingOrder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numFmt numFmtId="2" formatCode="0.00"/>
    </dxf>
    <dxf>
      <numFmt numFmtId="1" formatCode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final" refreshedDate="41764.636906250002" createdVersion="4" refreshedVersion="3" minRefreshableVersion="3" recordCount="95">
  <cacheSource type="worksheet">
    <worksheetSource ref="A1:L96" sheet="base de datos"/>
  </cacheSource>
  <cacheFields count="12">
    <cacheField name="Parcela" numFmtId="0">
      <sharedItems containsSemiMixedTypes="0" containsString="0" containsNumber="1" containsInteger="1" minValue="1" maxValue="10"/>
    </cacheField>
    <cacheField name="No. Arbol" numFmtId="0">
      <sharedItems containsSemiMixedTypes="0" containsString="0" containsNumber="1" containsInteger="1" minValue="1" maxValue="15"/>
    </cacheField>
    <cacheField name="Nombre común" numFmtId="0">
      <sharedItems containsBlank="1" count="4">
        <s v="Pino triste"/>
        <s v="Chulube "/>
        <s v="Ciprés"/>
        <m u="1"/>
      </sharedItems>
    </cacheField>
    <cacheField name="Especie" numFmtId="0">
      <sharedItems containsBlank="1" count="6">
        <s v="Pinus pseudostrobus"/>
        <s v="Arbutus xalapensis"/>
        <s v="Cupresus lusitanica"/>
        <m u="1"/>
        <s v="Pinus psudostrobus" u="1"/>
        <s v="N. D" u="1"/>
      </sharedItems>
    </cacheField>
    <cacheField name="Clase diámetrica" numFmtId="0">
      <sharedItems count="5">
        <s v="40 - 49.9"/>
        <s v="10 - 19.9"/>
        <s v="20 - 29.9"/>
        <s v="60 - 69.9"/>
        <s v="30 - 39.9"/>
      </sharedItems>
    </cacheField>
    <cacheField name="DAP (cm)" numFmtId="0">
      <sharedItems containsSemiMixedTypes="0" containsString="0" containsNumber="1" minValue="10" maxValue="76"/>
    </cacheField>
    <cacheField name="Altura (m)" numFmtId="0">
      <sharedItems containsSemiMixedTypes="0" containsString="0" containsNumber="1" minValue="6" maxValue="23"/>
    </cacheField>
    <cacheField name="Area Basal (m2)" numFmtId="2">
      <sharedItems containsSemiMixedTypes="0" containsString="0" containsNumber="1" minValue="0" maxValue="0.45364704"/>
    </cacheField>
    <cacheField name="AB/Ha." numFmtId="2">
      <sharedItems containsSemiMixedTypes="0" containsString="0" containsNumber="1" minValue="0" maxValue="0.90729408"/>
    </cacheField>
    <cacheField name="Volumen (m3)" numFmtId="2">
      <sharedItems containsSemiMixedTypes="0" containsString="0" containsNumber="1" minValue="2.8871263484000001E-2" maxValue="3.6400011511999999"/>
    </cacheField>
    <cacheField name="Volumen/Ha." numFmtId="2">
      <sharedItems containsSemiMixedTypes="0" containsString="0" containsNumber="1" minValue="5.7742526968000002E-2" maxValue="7.2800023023999998"/>
    </cacheField>
    <cacheField name="Densidad/Ha." numFmtId="2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final" refreshedDate="41764.638047106484" createdVersion="4" refreshedVersion="3" minRefreshableVersion="3" recordCount="95">
  <cacheSource type="worksheet">
    <worksheetSource ref="A1:L96" sheet="base de datos"/>
  </cacheSource>
  <cacheFields count="12">
    <cacheField name="Parcela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No. Arbol" numFmtId="0">
      <sharedItems containsSemiMixedTypes="0" containsString="0" containsNumber="1" containsInteger="1" minValue="1" maxValue="15"/>
    </cacheField>
    <cacheField name="Nombre común" numFmtId="0">
      <sharedItems/>
    </cacheField>
    <cacheField name="Especie" numFmtId="0">
      <sharedItems/>
    </cacheField>
    <cacheField name="Clase diámetrica" numFmtId="0">
      <sharedItems/>
    </cacheField>
    <cacheField name="DAP (cm)" numFmtId="0">
      <sharedItems containsSemiMixedTypes="0" containsString="0" containsNumber="1" minValue="10" maxValue="76"/>
    </cacheField>
    <cacheField name="Altura (m)" numFmtId="0">
      <sharedItems containsSemiMixedTypes="0" containsString="0" containsNumber="1" minValue="6" maxValue="23"/>
    </cacheField>
    <cacheField name="Area Basal (m2)" numFmtId="2">
      <sharedItems containsSemiMixedTypes="0" containsString="0" containsNumber="1" minValue="0" maxValue="0.45364704"/>
    </cacheField>
    <cacheField name="AB/Ha." numFmtId="2">
      <sharedItems containsSemiMixedTypes="0" containsString="0" containsNumber="1" minValue="0" maxValue="0.90729408"/>
    </cacheField>
    <cacheField name="Volumen (m3)" numFmtId="2">
      <sharedItems containsSemiMixedTypes="0" containsString="0" containsNumber="1" minValue="2.8871263484000001E-2" maxValue="3.6400011511999999"/>
    </cacheField>
    <cacheField name="Volumen/Ha." numFmtId="2">
      <sharedItems containsSemiMixedTypes="0" containsString="0" containsNumber="1" minValue="5.7742526968000002E-2" maxValue="7.2800023023999998"/>
    </cacheField>
    <cacheField name="Densidad/Ha." numFmtId="2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n v="1"/>
    <n v="1"/>
    <x v="0"/>
    <x v="0"/>
    <x v="0"/>
    <n v="49.5"/>
    <n v="17"/>
    <n v="0.30974919360000003"/>
    <n v="0.61949838720000006"/>
    <n v="1.1966093288999999"/>
    <n v="2.3932186577999999"/>
    <n v="2"/>
  </r>
  <r>
    <n v="1"/>
    <n v="2"/>
    <x v="1"/>
    <x v="1"/>
    <x v="1"/>
    <n v="12.5"/>
    <n v="7"/>
    <n v="1.5393840000000002E-2"/>
    <n v="3.0787680000000005E-2"/>
    <n v="0.15919554725000001"/>
    <n v="0.31839109450000003"/>
    <n v="2"/>
  </r>
  <r>
    <n v="1"/>
    <n v="3"/>
    <x v="1"/>
    <x v="1"/>
    <x v="1"/>
    <n v="10.6"/>
    <n v="7"/>
    <n v="1.3273260000000002E-2"/>
    <n v="2.6546520000000004E-2"/>
    <n v="0.14490965948000001"/>
    <n v="0.28981931896000002"/>
    <n v="2"/>
  </r>
  <r>
    <n v="1"/>
    <n v="4"/>
    <x v="2"/>
    <x v="2"/>
    <x v="1"/>
    <n v="10.3"/>
    <n v="8"/>
    <n v="1.0028772600000001E-2"/>
    <n v="2.0057545200000002E-2"/>
    <n v="3.8004573048000007E-2"/>
    <n v="7.6009146096000013E-2"/>
    <n v="2"/>
  </r>
  <r>
    <n v="1"/>
    <n v="5"/>
    <x v="2"/>
    <x v="2"/>
    <x v="1"/>
    <n v="10"/>
    <n v="9"/>
    <n v="1.6513034999999999E-2"/>
    <n v="3.3026069999999998E-2"/>
    <n v="3.9487252200000003E-2"/>
    <n v="7.8974504400000006E-2"/>
    <n v="2"/>
  </r>
  <r>
    <n v="1"/>
    <n v="6"/>
    <x v="1"/>
    <x v="1"/>
    <x v="1"/>
    <n v="18"/>
    <n v="10"/>
    <n v="1.4957157600000002E-2"/>
    <n v="2.9914315200000003E-2"/>
    <n v="0.25899402599999999"/>
    <n v="0.51798805199999998"/>
    <n v="2"/>
  </r>
  <r>
    <n v="1"/>
    <n v="7"/>
    <x v="1"/>
    <x v="1"/>
    <x v="1"/>
    <n v="10.3"/>
    <n v="10"/>
    <n v="2.2698060000000003E-2"/>
    <n v="4.5396120000000005E-2"/>
    <n v="0.15766805510000001"/>
    <n v="0.31533611020000002"/>
    <n v="2"/>
  </r>
  <r>
    <n v="1"/>
    <n v="8"/>
    <x v="1"/>
    <x v="1"/>
    <x v="1"/>
    <n v="14"/>
    <n v="11"/>
    <n v="1.5393840000000002E-2"/>
    <n v="3.0787680000000005E-2"/>
    <n v="0.20858911000000002"/>
    <n v="0.41717822000000004"/>
    <n v="2"/>
  </r>
  <r>
    <n v="1"/>
    <n v="9"/>
    <x v="1"/>
    <x v="1"/>
    <x v="1"/>
    <n v="19"/>
    <n v="11"/>
    <n v="2.2698060000000003E-2"/>
    <n v="4.5396120000000005E-2"/>
    <n v="0.29298479500000002"/>
    <n v="0.58596959000000004"/>
    <n v="2"/>
  </r>
  <r>
    <n v="1"/>
    <n v="10"/>
    <x v="1"/>
    <x v="1"/>
    <x v="1"/>
    <n v="17"/>
    <n v="10"/>
    <n v="2.835294E-2"/>
    <n v="5.670588E-2"/>
    <n v="0.24271937599999999"/>
    <n v="0.48543875199999997"/>
    <n v="2"/>
  </r>
  <r>
    <n v="1"/>
    <n v="11"/>
    <x v="1"/>
    <x v="1"/>
    <x v="2"/>
    <n v="20.8"/>
    <n v="10"/>
    <n v="2.0106240000000001E-2"/>
    <n v="4.0212480000000002E-2"/>
    <n v="0.30951053960000002"/>
    <n v="0.61902107920000005"/>
    <n v="2"/>
  </r>
  <r>
    <n v="2"/>
    <n v="1"/>
    <x v="0"/>
    <x v="0"/>
    <x v="3"/>
    <n v="62.8"/>
    <n v="23"/>
    <n v="9.079224000000001E-2"/>
    <n v="0.18158448000000002"/>
    <n v="2.5998108120639998"/>
    <n v="5.1996216241279996"/>
    <n v="2"/>
  </r>
  <r>
    <n v="2"/>
    <n v="2"/>
    <x v="1"/>
    <x v="1"/>
    <x v="1"/>
    <n v="14"/>
    <n v="10"/>
    <n v="2.9559314399999991E-2"/>
    <n v="5.9118628799999982E-2"/>
    <n v="0.19947530600000002"/>
    <n v="0.39895061200000004"/>
    <n v="2"/>
  </r>
  <r>
    <n v="2"/>
    <n v="3"/>
    <x v="1"/>
    <x v="1"/>
    <x v="1"/>
    <n v="13"/>
    <n v="11"/>
    <n v="4.154766E-2"/>
    <n v="8.309532E-2"/>
    <n v="0.194778907"/>
    <n v="0.389557814"/>
    <n v="2"/>
  </r>
  <r>
    <n v="2"/>
    <n v="4"/>
    <x v="0"/>
    <x v="0"/>
    <x v="1"/>
    <n v="11.3"/>
    <n v="10"/>
    <n v="3.1416000000000006E-2"/>
    <n v="6.2832000000000013E-2"/>
    <n v="4.1607156680000007E-2"/>
    <n v="8.3214313360000014E-2"/>
    <n v="2"/>
  </r>
  <r>
    <n v="2"/>
    <n v="5"/>
    <x v="0"/>
    <x v="0"/>
    <x v="1"/>
    <n v="14.5"/>
    <n v="13"/>
    <n v="3.1416000000000006E-2"/>
    <n v="6.2832000000000013E-2"/>
    <n v="8.3266339699999997E-2"/>
    <n v="0.16653267939999999"/>
    <n v="2"/>
  </r>
  <r>
    <n v="2"/>
    <n v="6"/>
    <x v="0"/>
    <x v="0"/>
    <x v="1"/>
    <n v="13.8"/>
    <n v="13"/>
    <n v="5.3093040000000008E-2"/>
    <n v="0.10618608000000002"/>
    <n v="7.5899642544000001E-2"/>
    <n v="0.151799285088"/>
    <n v="2"/>
  </r>
  <r>
    <n v="3"/>
    <n v="1"/>
    <x v="0"/>
    <x v="0"/>
    <x v="1"/>
    <n v="17"/>
    <n v="11"/>
    <n v="2.2698060000000003E-2"/>
    <n v="4.5396120000000005E-2"/>
    <n v="9.6017107599999998E-2"/>
    <n v="0.1920342152"/>
    <n v="2"/>
  </r>
  <r>
    <n v="3"/>
    <n v="2"/>
    <x v="1"/>
    <x v="1"/>
    <x v="1"/>
    <n v="14"/>
    <n v="10"/>
    <n v="8.5530060000000005E-2"/>
    <n v="0.17106012000000001"/>
    <n v="0.19947530600000002"/>
    <n v="0.39895061200000004"/>
    <n v="2"/>
  </r>
  <r>
    <n v="3"/>
    <n v="3"/>
    <x v="1"/>
    <x v="1"/>
    <x v="1"/>
    <n v="17"/>
    <n v="12"/>
    <n v="8.3982036600000004E-2"/>
    <n v="0.16796407320000001"/>
    <n v="0.269595798"/>
    <n v="0.539191596"/>
    <n v="2"/>
  </r>
  <r>
    <n v="3"/>
    <n v="4"/>
    <x v="1"/>
    <x v="1"/>
    <x v="1"/>
    <n v="19"/>
    <n v="13"/>
    <n v="1.6513034999999999E-2"/>
    <n v="3.3026069999999998E-2"/>
    <n v="0.32655707300000003"/>
    <n v="0.65311414600000006"/>
    <n v="2"/>
  </r>
  <r>
    <n v="3"/>
    <n v="5"/>
    <x v="1"/>
    <x v="1"/>
    <x v="1"/>
    <n v="16"/>
    <n v="14"/>
    <n v="8.6569929600000012E-2"/>
    <n v="0.17313985920000002"/>
    <n v="0.27498968200000001"/>
    <n v="0.54997936400000003"/>
    <n v="2"/>
  </r>
  <r>
    <n v="3"/>
    <n v="6"/>
    <x v="0"/>
    <x v="0"/>
    <x v="4"/>
    <n v="34"/>
    <n v="18"/>
    <n v="9.079224000000001E-2"/>
    <n v="0.18158448000000002"/>
    <n v="0.60029817839999999"/>
    <n v="1.2005963568"/>
    <n v="2"/>
  </r>
  <r>
    <n v="3"/>
    <n v="7"/>
    <x v="0"/>
    <x v="0"/>
    <x v="1"/>
    <n v="19.399999999999999"/>
    <n v="13"/>
    <n v="2.9559314399999991E-2"/>
    <n v="5.9118628799999982E-2"/>
    <n v="0.14503726673599998"/>
    <n v="0.29007453347199996"/>
    <n v="2"/>
  </r>
  <r>
    <n v="3"/>
    <n v="8"/>
    <x v="0"/>
    <x v="0"/>
    <x v="2"/>
    <n v="23"/>
    <n v="14"/>
    <n v="4.154766E-2"/>
    <n v="8.309532E-2"/>
    <n v="0.216931288"/>
    <n v="0.433862576"/>
    <n v="2"/>
  </r>
  <r>
    <n v="3"/>
    <n v="9"/>
    <x v="0"/>
    <x v="0"/>
    <x v="2"/>
    <n v="20"/>
    <n v="15"/>
    <n v="3.1416000000000006E-2"/>
    <n v="6.2832000000000013E-2"/>
    <n v="0.17671237679999999"/>
    <n v="0.35342475359999997"/>
    <n v="2"/>
  </r>
  <r>
    <n v="3"/>
    <n v="10"/>
    <x v="0"/>
    <x v="0"/>
    <x v="2"/>
    <n v="20"/>
    <n v="17"/>
    <n v="3.1416000000000006E-2"/>
    <n v="6.2832000000000013E-2"/>
    <n v="0.1995965368"/>
    <n v="0.3991930736"/>
    <n v="2"/>
  </r>
  <r>
    <n v="3"/>
    <n v="11"/>
    <x v="0"/>
    <x v="0"/>
    <x v="2"/>
    <n v="26"/>
    <n v="16"/>
    <n v="5.3093040000000008E-2"/>
    <n v="0.10618608000000002"/>
    <n v="0.31447501999999994"/>
    <n v="0.62895003999999988"/>
    <n v="2"/>
  </r>
  <r>
    <n v="3"/>
    <n v="12"/>
    <x v="1"/>
    <x v="1"/>
    <x v="1"/>
    <n v="17"/>
    <n v="16"/>
    <n v="2.835294E-2"/>
    <n v="5.670588E-2"/>
    <n v="0.32334864200000002"/>
    <n v="0.64669728400000004"/>
    <n v="2"/>
  </r>
  <r>
    <n v="3"/>
    <n v="13"/>
    <x v="0"/>
    <x v="0"/>
    <x v="4"/>
    <n v="33"/>
    <n v="16"/>
    <n v="8.5530060000000005E-2"/>
    <n v="0.17106012000000001"/>
    <n v="0.50349818159999993"/>
    <n v="1.0069963631999999"/>
    <n v="2"/>
  </r>
  <r>
    <n v="4"/>
    <n v="1"/>
    <x v="0"/>
    <x v="0"/>
    <x v="4"/>
    <n v="32.700000000000003"/>
    <n v="16"/>
    <n v="8.3982036600000004E-2"/>
    <n v="0.16796407320000001"/>
    <n v="0.49447724572800006"/>
    <n v="0.98895449145600012"/>
    <n v="2"/>
  </r>
  <r>
    <n v="4"/>
    <n v="2"/>
    <x v="1"/>
    <x v="1"/>
    <x v="1"/>
    <n v="14.5"/>
    <n v="10"/>
    <n v="2.0106240000000001E-2"/>
    <n v="4.0212480000000002E-2"/>
    <n v="0.2061014135"/>
    <n v="0.41220282699999999"/>
    <n v="2"/>
  </r>
  <r>
    <n v="4"/>
    <n v="3"/>
    <x v="0"/>
    <x v="0"/>
    <x v="4"/>
    <n v="33.200000000000003"/>
    <n v="17"/>
    <n v="8.6569929600000012E-2"/>
    <n v="0.17313985920000002"/>
    <n v="0.54108770281600005"/>
    <n v="1.0821754056320001"/>
    <n v="2"/>
  </r>
  <r>
    <n v="4"/>
    <n v="4"/>
    <x v="1"/>
    <x v="1"/>
    <x v="1"/>
    <n v="15"/>
    <n v="14"/>
    <n v="8.0424960000000004E-2"/>
    <n v="0.16084992000000001"/>
    <n v="0.254809116"/>
    <n v="0.509618232"/>
    <n v="2"/>
  </r>
  <r>
    <n v="4"/>
    <n v="5"/>
    <x v="0"/>
    <x v="0"/>
    <x v="4"/>
    <n v="30.3"/>
    <n v="13.5"/>
    <n v="7.2106788599999999E-2"/>
    <n v="0.1442135772"/>
    <n v="0.35962017571799998"/>
    <n v="0.71924035143599996"/>
    <n v="2"/>
  </r>
  <r>
    <n v="4"/>
    <n v="6"/>
    <x v="0"/>
    <x v="0"/>
    <x v="4"/>
    <n v="34.5"/>
    <n v="17"/>
    <n v="9.3482234999999983E-2"/>
    <n v="0.18696446999999997"/>
    <n v="0.5838859448999999"/>
    <n v="1.1677718897999998"/>
    <n v="2"/>
  </r>
  <r>
    <n v="4"/>
    <n v="7"/>
    <x v="0"/>
    <x v="0"/>
    <x v="4"/>
    <n v="35"/>
    <n v="18"/>
    <n v="9.6211499999999991E-2"/>
    <n v="0.19242299999999998"/>
    <n v="0.63582583679999993"/>
    <n v="1.2716516735999999"/>
    <n v="2"/>
  </r>
  <r>
    <n v="4"/>
    <n v="8"/>
    <x v="0"/>
    <x v="0"/>
    <x v="2"/>
    <n v="29"/>
    <n v="16"/>
    <n v="6.6052139999999995E-2"/>
    <n v="0.13210427999999999"/>
    <n v="0.38999274799999994"/>
    <n v="0.77998549599999989"/>
    <n v="2"/>
  </r>
  <r>
    <n v="4"/>
    <n v="9"/>
    <x v="0"/>
    <x v="0"/>
    <x v="4"/>
    <n v="31.4"/>
    <n v="15"/>
    <n v="7.7437298400000007E-2"/>
    <n v="0.15487459680000001"/>
    <n v="0.42813492167999995"/>
    <n v="0.85626984335999989"/>
    <n v="2"/>
  </r>
  <r>
    <n v="5"/>
    <n v="1"/>
    <x v="1"/>
    <x v="1"/>
    <x v="1"/>
    <n v="19"/>
    <n v="15"/>
    <n v="0.10178783999999999"/>
    <n v="0.20357567999999998"/>
    <n v="0.36012935099999999"/>
    <n v="0.72025870199999997"/>
    <n v="2"/>
  </r>
  <r>
    <n v="5"/>
    <n v="2"/>
    <x v="1"/>
    <x v="1"/>
    <x v="1"/>
    <n v="16"/>
    <n v="15"/>
    <n v="2.2698060000000003E-2"/>
    <n v="4.5396120000000005E-2"/>
    <n v="0.28689342600000001"/>
    <n v="0.57378685200000001"/>
    <n v="2"/>
  </r>
  <r>
    <n v="5"/>
    <n v="3"/>
    <x v="0"/>
    <x v="0"/>
    <x v="4"/>
    <n v="38"/>
    <n v="18"/>
    <n v="0.11341176"/>
    <n v="0.22682352"/>
    <n v="0.74858753519999999"/>
    <n v="1.4971750704"/>
    <n v="2"/>
  </r>
  <r>
    <n v="5"/>
    <n v="4"/>
    <x v="0"/>
    <x v="0"/>
    <x v="1"/>
    <n v="16"/>
    <n v="14"/>
    <n v="2.0106240000000001E-2"/>
    <n v="4.0212480000000002E-2"/>
    <n v="0.1076022136"/>
    <n v="0.21520442719999999"/>
    <n v="2"/>
  </r>
  <r>
    <n v="5"/>
    <n v="5"/>
    <x v="2"/>
    <x v="2"/>
    <x v="1"/>
    <n v="16"/>
    <n v="16"/>
    <n v="2.0106240000000001E-2"/>
    <n v="4.0212480000000002E-2"/>
    <n v="0.1318944786"/>
    <n v="0.26378895720000001"/>
    <n v="2"/>
  </r>
  <r>
    <n v="5"/>
    <n v="6"/>
    <x v="2"/>
    <x v="2"/>
    <x v="4"/>
    <n v="32"/>
    <n v="16"/>
    <n v="8.0424960000000004E-2"/>
    <n v="0.16084992000000001"/>
    <n v="0.48718233779999998"/>
    <n v="0.97436467559999995"/>
    <n v="2"/>
  </r>
  <r>
    <n v="5"/>
    <n v="7"/>
    <x v="0"/>
    <x v="0"/>
    <x v="1"/>
    <n v="16"/>
    <n v="15"/>
    <n v="2.0106240000000001E-2"/>
    <n v="4.0212480000000002E-2"/>
    <n v="0.1149251448"/>
    <n v="0.22985028960000001"/>
    <n v="2"/>
  </r>
  <r>
    <n v="5"/>
    <n v="8"/>
    <x v="1"/>
    <x v="1"/>
    <x v="1"/>
    <n v="15"/>
    <n v="13"/>
    <n v="2.835294E-2"/>
    <n v="5.670588E-2"/>
    <n v="0.24434684100000004"/>
    <n v="0.48869368200000007"/>
    <n v="2"/>
  </r>
  <r>
    <n v="5"/>
    <n v="9"/>
    <x v="1"/>
    <x v="1"/>
    <x v="1"/>
    <n v="16"/>
    <n v="12"/>
    <n v="2.2698060000000003E-2"/>
    <n v="4.5396120000000005E-2"/>
    <n v="0.25118219400000003"/>
    <n v="0.50236438800000005"/>
    <n v="2"/>
  </r>
  <r>
    <n v="5"/>
    <n v="10"/>
    <x v="1"/>
    <x v="1"/>
    <x v="1"/>
    <n v="15"/>
    <n v="14"/>
    <n v="1.3273260000000002E-2"/>
    <n v="2.6546520000000004E-2"/>
    <n v="0.254809116"/>
    <n v="0.509618232"/>
    <n v="2"/>
  </r>
  <r>
    <n v="5"/>
    <n v="11"/>
    <x v="1"/>
    <x v="1"/>
    <x v="1"/>
    <n v="16"/>
    <n v="15"/>
    <n v="0.16619064"/>
    <n v="0.33238128"/>
    <n v="0.28689342600000001"/>
    <n v="0.57378685200000001"/>
    <n v="2"/>
  </r>
  <r>
    <n v="5"/>
    <n v="12"/>
    <x v="0"/>
    <x v="0"/>
    <x v="4"/>
    <n v="36"/>
    <n v="17"/>
    <n v="0.10178783999999999"/>
    <n v="0.20357567999999998"/>
    <n v="0.63531094319999992"/>
    <n v="1.2706218863999998"/>
    <n v="2"/>
  </r>
  <r>
    <n v="5"/>
    <n v="13"/>
    <x v="0"/>
    <x v="0"/>
    <x v="1"/>
    <n v="17"/>
    <n v="15"/>
    <n v="2.2698060000000003E-2"/>
    <n v="4.5396120000000005E-2"/>
    <n v="0.1290847188"/>
    <n v="0.2581694376"/>
    <n v="2"/>
  </r>
  <r>
    <n v="5"/>
    <n v="14"/>
    <x v="0"/>
    <x v="0"/>
    <x v="1"/>
    <n v="15"/>
    <n v="14"/>
    <n v="1.76715E-2"/>
    <n v="3.5342999999999999E-2"/>
    <n v="9.5187556800000003E-2"/>
    <n v="0.19037511360000001"/>
    <n v="2"/>
  </r>
  <r>
    <n v="5"/>
    <n v="15"/>
    <x v="1"/>
    <x v="1"/>
    <x v="1"/>
    <n v="19"/>
    <n v="14"/>
    <n v="1.0386915E-2"/>
    <n v="2.077383E-2"/>
    <n v="0.34334321200000001"/>
    <n v="0.68668642400000002"/>
    <n v="2"/>
  </r>
  <r>
    <n v="6"/>
    <n v="1"/>
    <x v="0"/>
    <x v="0"/>
    <x v="0"/>
    <n v="48"/>
    <n v="19"/>
    <n v="0.18095616"/>
    <n v="0.36191232000000001"/>
    <n v="1.257302412"/>
    <n v="2.5146048240000001"/>
    <n v="2"/>
  </r>
  <r>
    <n v="6"/>
    <n v="2"/>
    <x v="0"/>
    <x v="0"/>
    <x v="1"/>
    <n v="16"/>
    <n v="12"/>
    <n v="2.0106240000000001E-2"/>
    <n v="4.0212480000000002E-2"/>
    <n v="9.2956351199999995E-2"/>
    <n v="0.18591270239999999"/>
    <n v="2"/>
  </r>
  <r>
    <n v="6"/>
    <n v="3"/>
    <x v="1"/>
    <x v="1"/>
    <x v="1"/>
    <n v="14"/>
    <n v="6"/>
    <n v="0.45364704"/>
    <n v="0.90729408"/>
    <n v="0.16302009000000001"/>
    <n v="0.32604018000000001"/>
    <n v="2"/>
  </r>
  <r>
    <n v="6"/>
    <n v="4"/>
    <x v="0"/>
    <x v="0"/>
    <x v="1"/>
    <n v="19"/>
    <n v="7"/>
    <n v="2.835294E-2"/>
    <n v="5.670588E-2"/>
    <n v="7.7366517199999998E-2"/>
    <n v="0.1547330344"/>
    <n v="2"/>
  </r>
  <r>
    <n v="6"/>
    <n v="5"/>
    <x v="1"/>
    <x v="1"/>
    <x v="1"/>
    <n v="17"/>
    <n v="6"/>
    <n v="1.6513034999999999E-2"/>
    <n v="3.3026069999999998E-2"/>
    <n v="0.18896653200000002"/>
    <n v="0.37793306400000004"/>
    <n v="2"/>
  </r>
  <r>
    <n v="6"/>
    <n v="6"/>
    <x v="1"/>
    <x v="1"/>
    <x v="1"/>
    <n v="13"/>
    <n v="6"/>
    <n v="2.2698060000000003E-2"/>
    <n v="4.5396120000000005E-2"/>
    <n v="0.15548725200000002"/>
    <n v="0.31097450400000004"/>
    <n v="2"/>
  </r>
  <r>
    <n v="6"/>
    <n v="7"/>
    <x v="0"/>
    <x v="0"/>
    <x v="0"/>
    <n v="46"/>
    <n v="16"/>
    <n v="0.16619064"/>
    <n v="0.33238128"/>
    <n v="0.97353882799999991"/>
    <n v="1.9470776559999998"/>
    <n v="2"/>
  </r>
  <r>
    <n v="6"/>
    <n v="8"/>
    <x v="1"/>
    <x v="1"/>
    <x v="1"/>
    <n v="18"/>
    <n v="8"/>
    <n v="1.0935909600000002E-2"/>
    <n v="2.1871819200000003E-2"/>
    <n v="0.22886267400000002"/>
    <n v="0.45772534800000003"/>
    <n v="2"/>
  </r>
  <r>
    <n v="6"/>
    <n v="9"/>
    <x v="1"/>
    <x v="1"/>
    <x v="1"/>
    <n v="10.5"/>
    <n v="6"/>
    <n v="1.76715E-2"/>
    <n v="3.5342999999999999E-2"/>
    <n v="0.13909635450000002"/>
    <n v="0.27819270900000004"/>
    <n v="2"/>
  </r>
  <r>
    <n v="7"/>
    <n v="1"/>
    <x v="0"/>
    <x v="0"/>
    <x v="1"/>
    <n v="14.8"/>
    <n v="8"/>
    <n v="1.7203401600000005E-2"/>
    <n v="3.4406803200000009E-2"/>
    <n v="5.5206640863999998E-2"/>
    <n v="0.110413281728"/>
    <n v="2"/>
  </r>
  <r>
    <n v="7"/>
    <n v="2"/>
    <x v="1"/>
    <x v="1"/>
    <x v="1"/>
    <n v="11.5"/>
    <n v="6"/>
    <n v="7.0685999999999999E-2"/>
    <n v="0.141372"/>
    <n v="0.14523422250000001"/>
    <n v="0.29046844500000002"/>
    <n v="2"/>
  </r>
  <r>
    <n v="7"/>
    <n v="3"/>
    <x v="0"/>
    <x v="0"/>
    <x v="1"/>
    <n v="10.9"/>
    <n v="7"/>
    <n v="9.3313373999999987E-3"/>
    <n v="1.8662674799999997E-2"/>
    <n v="2.8871263484000001E-2"/>
    <n v="5.7742526968000002E-2"/>
    <n v="2"/>
  </r>
  <r>
    <n v="7"/>
    <n v="4"/>
    <x v="1"/>
    <x v="1"/>
    <x v="1"/>
    <n v="14"/>
    <n v="6"/>
    <n v="0.13854455999999998"/>
    <n v="0.27708911999999997"/>
    <n v="0.16302009000000001"/>
    <n v="0.32604018000000001"/>
    <n v="2"/>
  </r>
  <r>
    <n v="7"/>
    <n v="5"/>
    <x v="0"/>
    <x v="0"/>
    <x v="1"/>
    <n v="76"/>
    <n v="22"/>
    <n v="0.45364704"/>
    <n v="0.90729408"/>
    <n v="3.6400011511999999"/>
    <n v="7.2800023023999998"/>
    <n v="2"/>
  </r>
  <r>
    <n v="7"/>
    <n v="6"/>
    <x v="1"/>
    <x v="1"/>
    <x v="1"/>
    <n v="17"/>
    <n v="10"/>
    <n v="4.5239040000000001E-2"/>
    <n v="9.0478080000000002E-2"/>
    <n v="0.24271937599999999"/>
    <n v="0.48543875199999997"/>
    <n v="2"/>
  </r>
  <r>
    <n v="7"/>
    <n v="7"/>
    <x v="1"/>
    <x v="1"/>
    <x v="1"/>
    <n v="14.5"/>
    <n v="6"/>
    <n v="0.14522046"/>
    <n v="0.29044091999999999"/>
    <n v="0.16699575450000001"/>
    <n v="0.33399150900000002"/>
    <n v="2"/>
  </r>
  <r>
    <n v="7"/>
    <n v="8"/>
    <x v="1"/>
    <x v="1"/>
    <x v="1"/>
    <n v="17"/>
    <n v="7"/>
    <n v="0.10178783999999999"/>
    <n v="0.20357567999999998"/>
    <n v="0.202404743"/>
    <n v="0.404809486"/>
    <n v="2"/>
  </r>
  <r>
    <n v="7"/>
    <n v="9"/>
    <x v="1"/>
    <x v="1"/>
    <x v="1"/>
    <n v="12"/>
    <n v="7"/>
    <n v="0.1092719166"/>
    <n v="0.21854383320000001"/>
    <n v="0.15520825799999999"/>
    <n v="0.31041651599999998"/>
    <n v="2"/>
  </r>
  <r>
    <n v="7"/>
    <n v="10"/>
    <x v="1"/>
    <x v="1"/>
    <x v="1"/>
    <n v="11.8"/>
    <n v="6"/>
    <n v="0.19635"/>
    <n v="0.39269999999999999"/>
    <n v="0.14718439056000002"/>
    <n v="0.29436878112000003"/>
    <n v="2"/>
  </r>
  <r>
    <n v="8"/>
    <n v="1"/>
    <x v="1"/>
    <x v="1"/>
    <x v="1"/>
    <n v="15"/>
    <n v="12"/>
    <n v="0.11945934000000001"/>
    <n v="0.23891868000000002"/>
    <n v="0.23388456600000002"/>
    <n v="0.46776913200000003"/>
    <n v="2"/>
  </r>
  <r>
    <n v="8"/>
    <n v="2"/>
    <x v="0"/>
    <x v="0"/>
    <x v="1"/>
    <n v="16"/>
    <n v="14"/>
    <n v="2.0106240000000001E-2"/>
    <n v="4.0212480000000002E-2"/>
    <n v="0.1076022136"/>
    <n v="0.21520442719999999"/>
    <n v="2"/>
  </r>
  <r>
    <n v="8"/>
    <n v="3"/>
    <x v="1"/>
    <x v="1"/>
    <x v="4"/>
    <n v="30"/>
    <n v="17"/>
    <n v="1.6971708599999996E-2"/>
    <n v="3.3943417199999992E-2"/>
    <n v="0.81977196600000013"/>
    <n v="1.6395439320000003"/>
    <n v="2"/>
  </r>
  <r>
    <n v="8"/>
    <n v="4"/>
    <x v="1"/>
    <x v="1"/>
    <x v="2"/>
    <n v="26"/>
    <n v="16"/>
    <n v="7.5476940000000006E-2"/>
    <n v="0.15095388000000001"/>
    <n v="0.61127045000000013"/>
    <n v="1.2225409000000003"/>
    <n v="2"/>
  </r>
  <r>
    <n v="8"/>
    <n v="5"/>
    <x v="1"/>
    <x v="1"/>
    <x v="0"/>
    <n v="42"/>
    <n v="16"/>
    <n v="0.15343888560000002"/>
    <n v="0.30687777120000004"/>
    <n v="1.4207250419999999"/>
    <n v="2.8414500839999999"/>
    <n v="2"/>
  </r>
  <r>
    <n v="8"/>
    <n v="6"/>
    <x v="1"/>
    <x v="1"/>
    <x v="4"/>
    <n v="30"/>
    <n v="15"/>
    <n v="4.9087499999999999E-2"/>
    <n v="9.8174999999999998E-2"/>
    <n v="0.73607376600000007"/>
    <n v="1.4721475320000001"/>
    <n v="2"/>
  </r>
  <r>
    <n v="8"/>
    <n v="7"/>
    <x v="1"/>
    <x v="1"/>
    <x v="2"/>
    <n v="24"/>
    <n v="17"/>
    <n v="3.8013359999999996E-2"/>
    <n v="7.6026719999999992E-2"/>
    <n v="0.56365547400000005"/>
    <n v="1.1273109480000001"/>
    <n v="2"/>
  </r>
  <r>
    <n v="9"/>
    <n v="1"/>
    <x v="2"/>
    <x v="2"/>
    <x v="0"/>
    <n v="43"/>
    <n v="23"/>
    <n v="0.14522046"/>
    <n v="0.29044091999999999"/>
    <n v="1.2430653540000001"/>
    <n v="2.4861307080000001"/>
    <n v="2"/>
  </r>
  <r>
    <n v="9"/>
    <n v="2"/>
    <x v="2"/>
    <x v="2"/>
    <x v="4"/>
    <n v="36"/>
    <n v="19"/>
    <n v="0.10178783999999999"/>
    <n v="0.20357567999999998"/>
    <n v="0.72542875379999994"/>
    <n v="1.4508575075999999"/>
    <n v="2"/>
  </r>
  <r>
    <n v="9"/>
    <n v="3"/>
    <x v="2"/>
    <x v="2"/>
    <x v="4"/>
    <n v="37.299999999999997"/>
    <n v="18"/>
    <n v="0.1092719166"/>
    <n v="0.21854383320000001"/>
    <n v="0.73754982934799984"/>
    <n v="1.4750996586959997"/>
    <n v="2"/>
  </r>
  <r>
    <n v="9"/>
    <n v="4"/>
    <x v="2"/>
    <x v="2"/>
    <x v="3"/>
    <n v="50"/>
    <n v="20"/>
    <n v="0.19635"/>
    <n v="0.39269999999999999"/>
    <n v="1.4591351922"/>
    <n v="2.9182703844"/>
    <n v="2"/>
  </r>
  <r>
    <n v="9"/>
    <n v="5"/>
    <x v="2"/>
    <x v="2"/>
    <x v="4"/>
    <n v="39"/>
    <n v="20"/>
    <n v="0.11945934000000001"/>
    <n v="0.23891868000000002"/>
    <n v="0.8930108202"/>
    <n v="1.7860216404"/>
    <n v="2"/>
  </r>
  <r>
    <n v="9"/>
    <n v="6"/>
    <x v="2"/>
    <x v="2"/>
    <x v="1"/>
    <n v="16"/>
    <n v="12"/>
    <n v="2.0106240000000001E-2"/>
    <n v="4.0212480000000002E-2"/>
    <n v="0.102287157"/>
    <n v="0.20457431400000001"/>
    <n v="2"/>
  </r>
  <r>
    <n v="10"/>
    <n v="1"/>
    <x v="2"/>
    <x v="2"/>
    <x v="1"/>
    <n v="14.7"/>
    <n v="14"/>
    <n v="1.6971708599999996E-2"/>
    <n v="3.3943417199999992E-2"/>
    <n v="0.100935744684"/>
    <n v="0.20187148936800001"/>
    <n v="2"/>
  </r>
  <r>
    <n v="10"/>
    <n v="2"/>
    <x v="1"/>
    <x v="1"/>
    <x v="4"/>
    <n v="31"/>
    <n v="19"/>
    <n v="0"/>
    <n v="0"/>
    <n v="0.95736250700000014"/>
    <n v="1.9147250140000003"/>
    <n v="2"/>
  </r>
  <r>
    <n v="10"/>
    <n v="3"/>
    <x v="2"/>
    <x v="2"/>
    <x v="0"/>
    <n v="44.2"/>
    <n v="22"/>
    <n v="0.15343888560000002"/>
    <n v="0.30687777120000004"/>
    <n v="1.2561654372720001"/>
    <n v="2.5123308745440003"/>
    <n v="2"/>
  </r>
  <r>
    <n v="10"/>
    <n v="4"/>
    <x v="1"/>
    <x v="1"/>
    <x v="2"/>
    <n v="25"/>
    <n v="15"/>
    <n v="0"/>
    <n v="0"/>
    <n v="0.54426539100000004"/>
    <n v="1.0885307820000001"/>
    <n v="2"/>
  </r>
  <r>
    <n v="10"/>
    <n v="5"/>
    <x v="1"/>
    <x v="1"/>
    <x v="2"/>
    <n v="22"/>
    <n v="16"/>
    <n v="0"/>
    <n v="0"/>
    <n v="0.46842552200000004"/>
    <n v="0.93685104400000008"/>
    <n v="2"/>
  </r>
  <r>
    <n v="10"/>
    <n v="6"/>
    <x v="1"/>
    <x v="1"/>
    <x v="1"/>
    <n v="17.399999999999999"/>
    <n v="14"/>
    <n v="0"/>
    <n v="0"/>
    <n v="0.30542978735999998"/>
    <n v="0.61085957471999996"/>
    <n v="2"/>
  </r>
  <r>
    <n v="10"/>
    <n v="7"/>
    <x v="1"/>
    <x v="1"/>
    <x v="1"/>
    <n v="18"/>
    <n v="10"/>
    <n v="0"/>
    <n v="0"/>
    <n v="0.25899402599999999"/>
    <n v="0.51798805199999998"/>
    <n v="2"/>
  </r>
  <r>
    <n v="10"/>
    <n v="8"/>
    <x v="1"/>
    <x v="1"/>
    <x v="4"/>
    <n v="30"/>
    <n v="16"/>
    <n v="0"/>
    <n v="0"/>
    <n v="0.77792286600000005"/>
    <n v="1.5558457320000001"/>
    <n v="2"/>
  </r>
  <r>
    <n v="10"/>
    <n v="9"/>
    <x v="0"/>
    <x v="0"/>
    <x v="4"/>
    <n v="39.799999999999997"/>
    <n v="20"/>
    <n v="0.12441050159999997"/>
    <n v="0.24882100319999995"/>
    <n v="0.91131679695999979"/>
    <n v="1.8226335939199996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">
  <r>
    <x v="0"/>
    <n v="1"/>
    <s v="Pino triste"/>
    <s v="Pinus pseudostrobus"/>
    <s v="40 - 49.9"/>
    <n v="49.5"/>
    <n v="17"/>
    <n v="0.30974919360000003"/>
    <n v="0.61949838720000006"/>
    <n v="1.1966093288999999"/>
    <n v="2.3932186577999999"/>
    <n v="2"/>
  </r>
  <r>
    <x v="0"/>
    <n v="2"/>
    <s v="Chulube "/>
    <s v="Arbutus xalapensis"/>
    <s v="10 - 19.9"/>
    <n v="12.5"/>
    <n v="7"/>
    <n v="1.5393840000000002E-2"/>
    <n v="3.0787680000000005E-2"/>
    <n v="0.15919554725000001"/>
    <n v="0.31839109450000003"/>
    <n v="2"/>
  </r>
  <r>
    <x v="0"/>
    <n v="3"/>
    <s v="Chulube "/>
    <s v="Arbutus xalapensis"/>
    <s v="10 - 19.9"/>
    <n v="10.6"/>
    <n v="7"/>
    <n v="1.3273260000000002E-2"/>
    <n v="2.6546520000000004E-2"/>
    <n v="0.14490965948000001"/>
    <n v="0.28981931896000002"/>
    <n v="2"/>
  </r>
  <r>
    <x v="0"/>
    <n v="4"/>
    <s v="Ciprés"/>
    <s v="Cupresus lusitanica"/>
    <s v="10 - 19.9"/>
    <n v="10.3"/>
    <n v="8"/>
    <n v="1.0028772600000001E-2"/>
    <n v="2.0057545200000002E-2"/>
    <n v="3.8004573048000007E-2"/>
    <n v="7.6009146096000013E-2"/>
    <n v="2"/>
  </r>
  <r>
    <x v="0"/>
    <n v="5"/>
    <s v="Ciprés"/>
    <s v="Cupresus lusitanica"/>
    <s v="10 - 19.9"/>
    <n v="10"/>
    <n v="9"/>
    <n v="1.6513034999999999E-2"/>
    <n v="3.3026069999999998E-2"/>
    <n v="3.9487252200000003E-2"/>
    <n v="7.8974504400000006E-2"/>
    <n v="2"/>
  </r>
  <r>
    <x v="0"/>
    <n v="6"/>
    <s v="Chulube "/>
    <s v="Arbutus xalapensis"/>
    <s v="10 - 19.9"/>
    <n v="18"/>
    <n v="10"/>
    <n v="1.4957157600000002E-2"/>
    <n v="2.9914315200000003E-2"/>
    <n v="0.25899402599999999"/>
    <n v="0.51798805199999998"/>
    <n v="2"/>
  </r>
  <r>
    <x v="0"/>
    <n v="7"/>
    <s v="Chulube "/>
    <s v="Arbutus xalapensis"/>
    <s v="10 - 19.9"/>
    <n v="10.3"/>
    <n v="10"/>
    <n v="2.2698060000000003E-2"/>
    <n v="4.5396120000000005E-2"/>
    <n v="0.15766805510000001"/>
    <n v="0.31533611020000002"/>
    <n v="2"/>
  </r>
  <r>
    <x v="0"/>
    <n v="8"/>
    <s v="Chulube "/>
    <s v="Arbutus xalapensis"/>
    <s v="10 - 19.9"/>
    <n v="14"/>
    <n v="11"/>
    <n v="1.5393840000000002E-2"/>
    <n v="3.0787680000000005E-2"/>
    <n v="0.20858911000000002"/>
    <n v="0.41717822000000004"/>
    <n v="2"/>
  </r>
  <r>
    <x v="0"/>
    <n v="9"/>
    <s v="Chulube "/>
    <s v="Arbutus xalapensis"/>
    <s v="10 - 19.9"/>
    <n v="19"/>
    <n v="11"/>
    <n v="2.2698060000000003E-2"/>
    <n v="4.5396120000000005E-2"/>
    <n v="0.29298479500000002"/>
    <n v="0.58596959000000004"/>
    <n v="2"/>
  </r>
  <r>
    <x v="0"/>
    <n v="10"/>
    <s v="Chulube "/>
    <s v="Arbutus xalapensis"/>
    <s v="10 - 19.9"/>
    <n v="17"/>
    <n v="10"/>
    <n v="2.835294E-2"/>
    <n v="5.670588E-2"/>
    <n v="0.24271937599999999"/>
    <n v="0.48543875199999997"/>
    <n v="2"/>
  </r>
  <r>
    <x v="0"/>
    <n v="11"/>
    <s v="Chulube "/>
    <s v="Arbutus xalapensis"/>
    <s v="20 - 29.9"/>
    <n v="20.8"/>
    <n v="10"/>
    <n v="2.0106240000000001E-2"/>
    <n v="4.0212480000000002E-2"/>
    <n v="0.30951053960000002"/>
    <n v="0.61902107920000005"/>
    <n v="2"/>
  </r>
  <r>
    <x v="1"/>
    <n v="1"/>
    <s v="Pino triste"/>
    <s v="Pinus pseudostrobus"/>
    <s v="60 - 69.9"/>
    <n v="62.8"/>
    <n v="23"/>
    <n v="9.079224000000001E-2"/>
    <n v="0.18158448000000002"/>
    <n v="2.5998108120639998"/>
    <n v="5.1996216241279996"/>
    <n v="2"/>
  </r>
  <r>
    <x v="1"/>
    <n v="2"/>
    <s v="Chulube "/>
    <s v="Arbutus xalapensis"/>
    <s v="10 - 19.9"/>
    <n v="14"/>
    <n v="10"/>
    <n v="2.9559314399999991E-2"/>
    <n v="5.9118628799999982E-2"/>
    <n v="0.19947530600000002"/>
    <n v="0.39895061200000004"/>
    <n v="2"/>
  </r>
  <r>
    <x v="1"/>
    <n v="3"/>
    <s v="Chulube "/>
    <s v="Arbutus xalapensis"/>
    <s v="10 - 19.9"/>
    <n v="13"/>
    <n v="11"/>
    <n v="4.154766E-2"/>
    <n v="8.309532E-2"/>
    <n v="0.194778907"/>
    <n v="0.389557814"/>
    <n v="2"/>
  </r>
  <r>
    <x v="1"/>
    <n v="4"/>
    <s v="Pino triste"/>
    <s v="Pinus pseudostrobus"/>
    <s v="10 - 19.9"/>
    <n v="11.3"/>
    <n v="10"/>
    <n v="3.1416000000000006E-2"/>
    <n v="6.2832000000000013E-2"/>
    <n v="4.1607156680000007E-2"/>
    <n v="8.3214313360000014E-2"/>
    <n v="2"/>
  </r>
  <r>
    <x v="1"/>
    <n v="5"/>
    <s v="Pino triste"/>
    <s v="Pinus pseudostrobus"/>
    <s v="10 - 19.9"/>
    <n v="14.5"/>
    <n v="13"/>
    <n v="3.1416000000000006E-2"/>
    <n v="6.2832000000000013E-2"/>
    <n v="8.3266339699999997E-2"/>
    <n v="0.16653267939999999"/>
    <n v="2"/>
  </r>
  <r>
    <x v="1"/>
    <n v="6"/>
    <s v="Pino triste"/>
    <s v="Pinus pseudostrobus"/>
    <s v="10 - 19.9"/>
    <n v="13.8"/>
    <n v="13"/>
    <n v="5.3093040000000008E-2"/>
    <n v="0.10618608000000002"/>
    <n v="7.5899642544000001E-2"/>
    <n v="0.151799285088"/>
    <n v="2"/>
  </r>
  <r>
    <x v="2"/>
    <n v="1"/>
    <s v="Pino triste"/>
    <s v="Pinus pseudostrobus"/>
    <s v="10 - 19.9"/>
    <n v="17"/>
    <n v="11"/>
    <n v="2.2698060000000003E-2"/>
    <n v="4.5396120000000005E-2"/>
    <n v="9.6017107599999998E-2"/>
    <n v="0.1920342152"/>
    <n v="2"/>
  </r>
  <r>
    <x v="2"/>
    <n v="2"/>
    <s v="Chulube "/>
    <s v="Arbutus xalapensis"/>
    <s v="10 - 19.9"/>
    <n v="14"/>
    <n v="10"/>
    <n v="8.5530060000000005E-2"/>
    <n v="0.17106012000000001"/>
    <n v="0.19947530600000002"/>
    <n v="0.39895061200000004"/>
    <n v="2"/>
  </r>
  <r>
    <x v="2"/>
    <n v="3"/>
    <s v="Chulube "/>
    <s v="Arbutus xalapensis"/>
    <s v="10 - 19.9"/>
    <n v="17"/>
    <n v="12"/>
    <n v="8.3982036600000004E-2"/>
    <n v="0.16796407320000001"/>
    <n v="0.269595798"/>
    <n v="0.539191596"/>
    <n v="2"/>
  </r>
  <r>
    <x v="2"/>
    <n v="4"/>
    <s v="Chulube "/>
    <s v="Arbutus xalapensis"/>
    <s v="10 - 19.9"/>
    <n v="19"/>
    <n v="13"/>
    <n v="1.6513034999999999E-2"/>
    <n v="3.3026069999999998E-2"/>
    <n v="0.32655707300000003"/>
    <n v="0.65311414600000006"/>
    <n v="2"/>
  </r>
  <r>
    <x v="2"/>
    <n v="5"/>
    <s v="Chulube "/>
    <s v="Arbutus xalapensis"/>
    <s v="10 - 19.9"/>
    <n v="16"/>
    <n v="14"/>
    <n v="8.6569929600000012E-2"/>
    <n v="0.17313985920000002"/>
    <n v="0.27498968200000001"/>
    <n v="0.54997936400000003"/>
    <n v="2"/>
  </r>
  <r>
    <x v="2"/>
    <n v="6"/>
    <s v="Pino triste"/>
    <s v="Pinus pseudostrobus"/>
    <s v="30 - 39.9"/>
    <n v="34"/>
    <n v="18"/>
    <n v="9.079224000000001E-2"/>
    <n v="0.18158448000000002"/>
    <n v="0.60029817839999999"/>
    <n v="1.2005963568"/>
    <n v="2"/>
  </r>
  <r>
    <x v="2"/>
    <n v="7"/>
    <s v="Pino triste"/>
    <s v="Pinus pseudostrobus"/>
    <s v="10 - 19.9"/>
    <n v="19.399999999999999"/>
    <n v="13"/>
    <n v="2.9559314399999991E-2"/>
    <n v="5.9118628799999982E-2"/>
    <n v="0.14503726673599998"/>
    <n v="0.29007453347199996"/>
    <n v="2"/>
  </r>
  <r>
    <x v="2"/>
    <n v="8"/>
    <s v="Pino triste"/>
    <s v="Pinus pseudostrobus"/>
    <s v="20 - 29.9"/>
    <n v="23"/>
    <n v="14"/>
    <n v="4.154766E-2"/>
    <n v="8.309532E-2"/>
    <n v="0.216931288"/>
    <n v="0.433862576"/>
    <n v="2"/>
  </r>
  <r>
    <x v="2"/>
    <n v="9"/>
    <s v="Pino triste"/>
    <s v="Pinus pseudostrobus"/>
    <s v="20 - 29.9"/>
    <n v="20"/>
    <n v="15"/>
    <n v="3.1416000000000006E-2"/>
    <n v="6.2832000000000013E-2"/>
    <n v="0.17671237679999999"/>
    <n v="0.35342475359999997"/>
    <n v="2"/>
  </r>
  <r>
    <x v="2"/>
    <n v="10"/>
    <s v="Pino triste"/>
    <s v="Pinus pseudostrobus"/>
    <s v="20 - 29.9"/>
    <n v="20"/>
    <n v="17"/>
    <n v="3.1416000000000006E-2"/>
    <n v="6.2832000000000013E-2"/>
    <n v="0.1995965368"/>
    <n v="0.3991930736"/>
    <n v="2"/>
  </r>
  <r>
    <x v="2"/>
    <n v="11"/>
    <s v="Pino triste"/>
    <s v="Pinus pseudostrobus"/>
    <s v="20 - 29.9"/>
    <n v="26"/>
    <n v="16"/>
    <n v="5.3093040000000008E-2"/>
    <n v="0.10618608000000002"/>
    <n v="0.31447501999999994"/>
    <n v="0.62895003999999988"/>
    <n v="2"/>
  </r>
  <r>
    <x v="2"/>
    <n v="12"/>
    <s v="Chulube "/>
    <s v="Arbutus xalapensis"/>
    <s v="10 - 19.9"/>
    <n v="17"/>
    <n v="16"/>
    <n v="2.835294E-2"/>
    <n v="5.670588E-2"/>
    <n v="0.32334864200000002"/>
    <n v="0.64669728400000004"/>
    <n v="2"/>
  </r>
  <r>
    <x v="2"/>
    <n v="13"/>
    <s v="Pino triste"/>
    <s v="Pinus pseudostrobus"/>
    <s v="30 - 39.9"/>
    <n v="33"/>
    <n v="16"/>
    <n v="8.5530060000000005E-2"/>
    <n v="0.17106012000000001"/>
    <n v="0.50349818159999993"/>
    <n v="1.0069963631999999"/>
    <n v="2"/>
  </r>
  <r>
    <x v="3"/>
    <n v="1"/>
    <s v="Pino triste"/>
    <s v="Pinus pseudostrobus"/>
    <s v="30 - 39.9"/>
    <n v="32.700000000000003"/>
    <n v="16"/>
    <n v="8.3982036600000004E-2"/>
    <n v="0.16796407320000001"/>
    <n v="0.49447724572800006"/>
    <n v="0.98895449145600012"/>
    <n v="2"/>
  </r>
  <r>
    <x v="3"/>
    <n v="2"/>
    <s v="Chulube "/>
    <s v="Arbutus xalapensis"/>
    <s v="10 - 19.9"/>
    <n v="14.5"/>
    <n v="10"/>
    <n v="2.0106240000000001E-2"/>
    <n v="4.0212480000000002E-2"/>
    <n v="0.2061014135"/>
    <n v="0.41220282699999999"/>
    <n v="2"/>
  </r>
  <r>
    <x v="3"/>
    <n v="3"/>
    <s v="Pino triste"/>
    <s v="Pinus pseudostrobus"/>
    <s v="30 - 39.9"/>
    <n v="33.200000000000003"/>
    <n v="17"/>
    <n v="8.6569929600000012E-2"/>
    <n v="0.17313985920000002"/>
    <n v="0.54108770281600005"/>
    <n v="1.0821754056320001"/>
    <n v="2"/>
  </r>
  <r>
    <x v="3"/>
    <n v="4"/>
    <s v="Chulube "/>
    <s v="Arbutus xalapensis"/>
    <s v="10 - 19.9"/>
    <n v="15"/>
    <n v="14"/>
    <n v="8.0424960000000004E-2"/>
    <n v="0.16084992000000001"/>
    <n v="0.254809116"/>
    <n v="0.509618232"/>
    <n v="2"/>
  </r>
  <r>
    <x v="3"/>
    <n v="5"/>
    <s v="Pino triste"/>
    <s v="Pinus pseudostrobus"/>
    <s v="30 - 39.9"/>
    <n v="30.3"/>
    <n v="13.5"/>
    <n v="7.2106788599999999E-2"/>
    <n v="0.1442135772"/>
    <n v="0.35962017571799998"/>
    <n v="0.71924035143599996"/>
    <n v="2"/>
  </r>
  <r>
    <x v="3"/>
    <n v="6"/>
    <s v="Pino triste"/>
    <s v="Pinus pseudostrobus"/>
    <s v="30 - 39.9"/>
    <n v="34.5"/>
    <n v="17"/>
    <n v="9.3482234999999983E-2"/>
    <n v="0.18696446999999997"/>
    <n v="0.5838859448999999"/>
    <n v="1.1677718897999998"/>
    <n v="2"/>
  </r>
  <r>
    <x v="3"/>
    <n v="7"/>
    <s v="Pino triste"/>
    <s v="Pinus pseudostrobus"/>
    <s v="30 - 39.9"/>
    <n v="35"/>
    <n v="18"/>
    <n v="9.6211499999999991E-2"/>
    <n v="0.19242299999999998"/>
    <n v="0.63582583679999993"/>
    <n v="1.2716516735999999"/>
    <n v="2"/>
  </r>
  <r>
    <x v="3"/>
    <n v="8"/>
    <s v="Pino triste"/>
    <s v="Pinus pseudostrobus"/>
    <s v="20 - 29.9"/>
    <n v="29"/>
    <n v="16"/>
    <n v="6.6052139999999995E-2"/>
    <n v="0.13210427999999999"/>
    <n v="0.38999274799999994"/>
    <n v="0.77998549599999989"/>
    <n v="2"/>
  </r>
  <r>
    <x v="3"/>
    <n v="9"/>
    <s v="Pino triste"/>
    <s v="Pinus pseudostrobus"/>
    <s v="30 - 39.9"/>
    <n v="31.4"/>
    <n v="15"/>
    <n v="7.7437298400000007E-2"/>
    <n v="0.15487459680000001"/>
    <n v="0.42813492167999995"/>
    <n v="0.85626984335999989"/>
    <n v="2"/>
  </r>
  <r>
    <x v="4"/>
    <n v="1"/>
    <s v="Chulube "/>
    <s v="Arbutus xalapensis"/>
    <s v="10 - 19.9"/>
    <n v="19"/>
    <n v="15"/>
    <n v="0.10178783999999999"/>
    <n v="0.20357567999999998"/>
    <n v="0.36012935099999999"/>
    <n v="0.72025870199999997"/>
    <n v="2"/>
  </r>
  <r>
    <x v="4"/>
    <n v="2"/>
    <s v="Chulube "/>
    <s v="Arbutus xalapensis"/>
    <s v="10 - 19.9"/>
    <n v="16"/>
    <n v="15"/>
    <n v="2.2698060000000003E-2"/>
    <n v="4.5396120000000005E-2"/>
    <n v="0.28689342600000001"/>
    <n v="0.57378685200000001"/>
    <n v="2"/>
  </r>
  <r>
    <x v="4"/>
    <n v="3"/>
    <s v="Pino triste"/>
    <s v="Pinus pseudostrobus"/>
    <s v="30 - 39.9"/>
    <n v="38"/>
    <n v="18"/>
    <n v="0.11341176"/>
    <n v="0.22682352"/>
    <n v="0.74858753519999999"/>
    <n v="1.4971750704"/>
    <n v="2"/>
  </r>
  <r>
    <x v="4"/>
    <n v="4"/>
    <s v="Pino triste"/>
    <s v="Pinus pseudostrobus"/>
    <s v="10 - 19.9"/>
    <n v="16"/>
    <n v="14"/>
    <n v="2.0106240000000001E-2"/>
    <n v="4.0212480000000002E-2"/>
    <n v="0.1076022136"/>
    <n v="0.21520442719999999"/>
    <n v="2"/>
  </r>
  <r>
    <x v="4"/>
    <n v="5"/>
    <s v="Ciprés"/>
    <s v="Cupresus lusitanica"/>
    <s v="10 - 19.9"/>
    <n v="16"/>
    <n v="16"/>
    <n v="2.0106240000000001E-2"/>
    <n v="4.0212480000000002E-2"/>
    <n v="0.1318944786"/>
    <n v="0.26378895720000001"/>
    <n v="2"/>
  </r>
  <r>
    <x v="4"/>
    <n v="6"/>
    <s v="Ciprés"/>
    <s v="Cupresus lusitanica"/>
    <s v="30 - 39.9"/>
    <n v="32"/>
    <n v="16"/>
    <n v="8.0424960000000004E-2"/>
    <n v="0.16084992000000001"/>
    <n v="0.48718233779999998"/>
    <n v="0.97436467559999995"/>
    <n v="2"/>
  </r>
  <r>
    <x v="4"/>
    <n v="7"/>
    <s v="Pino triste"/>
    <s v="Pinus pseudostrobus"/>
    <s v="10 - 19.9"/>
    <n v="16"/>
    <n v="15"/>
    <n v="2.0106240000000001E-2"/>
    <n v="4.0212480000000002E-2"/>
    <n v="0.1149251448"/>
    <n v="0.22985028960000001"/>
    <n v="2"/>
  </r>
  <r>
    <x v="4"/>
    <n v="8"/>
    <s v="Chulube "/>
    <s v="Arbutus xalapensis"/>
    <s v="10 - 19.9"/>
    <n v="15"/>
    <n v="13"/>
    <n v="2.835294E-2"/>
    <n v="5.670588E-2"/>
    <n v="0.24434684100000004"/>
    <n v="0.48869368200000007"/>
    <n v="2"/>
  </r>
  <r>
    <x v="4"/>
    <n v="9"/>
    <s v="Chulube "/>
    <s v="Arbutus xalapensis"/>
    <s v="10 - 19.9"/>
    <n v="16"/>
    <n v="12"/>
    <n v="2.2698060000000003E-2"/>
    <n v="4.5396120000000005E-2"/>
    <n v="0.25118219400000003"/>
    <n v="0.50236438800000005"/>
    <n v="2"/>
  </r>
  <r>
    <x v="4"/>
    <n v="10"/>
    <s v="Chulube "/>
    <s v="Arbutus xalapensis"/>
    <s v="10 - 19.9"/>
    <n v="15"/>
    <n v="14"/>
    <n v="1.3273260000000002E-2"/>
    <n v="2.6546520000000004E-2"/>
    <n v="0.254809116"/>
    <n v="0.509618232"/>
    <n v="2"/>
  </r>
  <r>
    <x v="4"/>
    <n v="11"/>
    <s v="Chulube "/>
    <s v="Arbutus xalapensis"/>
    <s v="10 - 19.9"/>
    <n v="16"/>
    <n v="15"/>
    <n v="0.16619064"/>
    <n v="0.33238128"/>
    <n v="0.28689342600000001"/>
    <n v="0.57378685200000001"/>
    <n v="2"/>
  </r>
  <r>
    <x v="4"/>
    <n v="12"/>
    <s v="Pino triste"/>
    <s v="Pinus pseudostrobus"/>
    <s v="30 - 39.9"/>
    <n v="36"/>
    <n v="17"/>
    <n v="0.10178783999999999"/>
    <n v="0.20357567999999998"/>
    <n v="0.63531094319999992"/>
    <n v="1.2706218863999998"/>
    <n v="2"/>
  </r>
  <r>
    <x v="4"/>
    <n v="13"/>
    <s v="Pino triste"/>
    <s v="Pinus pseudostrobus"/>
    <s v="10 - 19.9"/>
    <n v="17"/>
    <n v="15"/>
    <n v="2.2698060000000003E-2"/>
    <n v="4.5396120000000005E-2"/>
    <n v="0.1290847188"/>
    <n v="0.2581694376"/>
    <n v="2"/>
  </r>
  <r>
    <x v="4"/>
    <n v="14"/>
    <s v="Pino triste"/>
    <s v="Pinus pseudostrobus"/>
    <s v="10 - 19.9"/>
    <n v="15"/>
    <n v="14"/>
    <n v="1.76715E-2"/>
    <n v="3.5342999999999999E-2"/>
    <n v="9.5187556800000003E-2"/>
    <n v="0.19037511360000001"/>
    <n v="2"/>
  </r>
  <r>
    <x v="4"/>
    <n v="15"/>
    <s v="Chulube "/>
    <s v="Arbutus xalapensis"/>
    <s v="10 - 19.9"/>
    <n v="19"/>
    <n v="14"/>
    <n v="1.0386915E-2"/>
    <n v="2.077383E-2"/>
    <n v="0.34334321200000001"/>
    <n v="0.68668642400000002"/>
    <n v="2"/>
  </r>
  <r>
    <x v="5"/>
    <n v="1"/>
    <s v="Pino triste"/>
    <s v="Pinus pseudostrobus"/>
    <s v="40 - 49.9"/>
    <n v="48"/>
    <n v="19"/>
    <n v="0.18095616"/>
    <n v="0.36191232000000001"/>
    <n v="1.257302412"/>
    <n v="2.5146048240000001"/>
    <n v="2"/>
  </r>
  <r>
    <x v="5"/>
    <n v="2"/>
    <s v="Pino triste"/>
    <s v="Pinus pseudostrobus"/>
    <s v="10 - 19.9"/>
    <n v="16"/>
    <n v="12"/>
    <n v="2.0106240000000001E-2"/>
    <n v="4.0212480000000002E-2"/>
    <n v="9.2956351199999995E-2"/>
    <n v="0.18591270239999999"/>
    <n v="2"/>
  </r>
  <r>
    <x v="5"/>
    <n v="3"/>
    <s v="Chulube "/>
    <s v="Arbutus xalapensis"/>
    <s v="10 - 19.9"/>
    <n v="14"/>
    <n v="6"/>
    <n v="0.45364704"/>
    <n v="0.90729408"/>
    <n v="0.16302009000000001"/>
    <n v="0.32604018000000001"/>
    <n v="2"/>
  </r>
  <r>
    <x v="5"/>
    <n v="4"/>
    <s v="Pino triste"/>
    <s v="Pinus pseudostrobus"/>
    <s v="10 - 19.9"/>
    <n v="19"/>
    <n v="7"/>
    <n v="2.835294E-2"/>
    <n v="5.670588E-2"/>
    <n v="7.7366517199999998E-2"/>
    <n v="0.1547330344"/>
    <n v="2"/>
  </r>
  <r>
    <x v="5"/>
    <n v="5"/>
    <s v="Chulube "/>
    <s v="Arbutus xalapensis"/>
    <s v="10 - 19.9"/>
    <n v="17"/>
    <n v="6"/>
    <n v="1.6513034999999999E-2"/>
    <n v="3.3026069999999998E-2"/>
    <n v="0.18896653200000002"/>
    <n v="0.37793306400000004"/>
    <n v="2"/>
  </r>
  <r>
    <x v="5"/>
    <n v="6"/>
    <s v="Chulube "/>
    <s v="Arbutus xalapensis"/>
    <s v="10 - 19.9"/>
    <n v="13"/>
    <n v="6"/>
    <n v="2.2698060000000003E-2"/>
    <n v="4.5396120000000005E-2"/>
    <n v="0.15548725200000002"/>
    <n v="0.31097450400000004"/>
    <n v="2"/>
  </r>
  <r>
    <x v="5"/>
    <n v="7"/>
    <s v="Pino triste"/>
    <s v="Pinus pseudostrobus"/>
    <s v="40 - 49.9"/>
    <n v="46"/>
    <n v="16"/>
    <n v="0.16619064"/>
    <n v="0.33238128"/>
    <n v="0.97353882799999991"/>
    <n v="1.9470776559999998"/>
    <n v="2"/>
  </r>
  <r>
    <x v="5"/>
    <n v="8"/>
    <s v="Chulube "/>
    <s v="Arbutus xalapensis"/>
    <s v="10 - 19.9"/>
    <n v="18"/>
    <n v="8"/>
    <n v="1.0935909600000002E-2"/>
    <n v="2.1871819200000003E-2"/>
    <n v="0.22886267400000002"/>
    <n v="0.45772534800000003"/>
    <n v="2"/>
  </r>
  <r>
    <x v="5"/>
    <n v="9"/>
    <s v="Chulube "/>
    <s v="Arbutus xalapensis"/>
    <s v="10 - 19.9"/>
    <n v="10.5"/>
    <n v="6"/>
    <n v="1.76715E-2"/>
    <n v="3.5342999999999999E-2"/>
    <n v="0.13909635450000002"/>
    <n v="0.27819270900000004"/>
    <n v="2"/>
  </r>
  <r>
    <x v="6"/>
    <n v="1"/>
    <s v="Pino triste"/>
    <s v="Pinus pseudostrobus"/>
    <s v="10 - 19.9"/>
    <n v="14.8"/>
    <n v="8"/>
    <n v="1.7203401600000005E-2"/>
    <n v="3.4406803200000009E-2"/>
    <n v="5.5206640863999998E-2"/>
    <n v="0.110413281728"/>
    <n v="2"/>
  </r>
  <r>
    <x v="6"/>
    <n v="2"/>
    <s v="Chulube "/>
    <s v="Arbutus xalapensis"/>
    <s v="10 - 19.9"/>
    <n v="11.5"/>
    <n v="6"/>
    <n v="7.0685999999999999E-2"/>
    <n v="0.141372"/>
    <n v="0.14523422250000001"/>
    <n v="0.29046844500000002"/>
    <n v="2"/>
  </r>
  <r>
    <x v="6"/>
    <n v="3"/>
    <s v="Pino triste"/>
    <s v="Pinus pseudostrobus"/>
    <s v="10 - 19.9"/>
    <n v="10.9"/>
    <n v="7"/>
    <n v="9.3313373999999987E-3"/>
    <n v="1.8662674799999997E-2"/>
    <n v="2.8871263484000001E-2"/>
    <n v="5.7742526968000002E-2"/>
    <n v="2"/>
  </r>
  <r>
    <x v="6"/>
    <n v="4"/>
    <s v="Chulube "/>
    <s v="Arbutus xalapensis"/>
    <s v="10 - 19.9"/>
    <n v="14"/>
    <n v="6"/>
    <n v="0.13854455999999998"/>
    <n v="0.27708911999999997"/>
    <n v="0.16302009000000001"/>
    <n v="0.32604018000000001"/>
    <n v="2"/>
  </r>
  <r>
    <x v="6"/>
    <n v="5"/>
    <s v="Pino triste"/>
    <s v="Pinus pseudostrobus"/>
    <s v="10 - 19.9"/>
    <n v="76"/>
    <n v="22"/>
    <n v="0.45364704"/>
    <n v="0.90729408"/>
    <n v="3.6400011511999999"/>
    <n v="7.2800023023999998"/>
    <n v="2"/>
  </r>
  <r>
    <x v="6"/>
    <n v="6"/>
    <s v="Chulube "/>
    <s v="Arbutus xalapensis"/>
    <s v="10 - 19.9"/>
    <n v="17"/>
    <n v="10"/>
    <n v="4.5239040000000001E-2"/>
    <n v="9.0478080000000002E-2"/>
    <n v="0.24271937599999999"/>
    <n v="0.48543875199999997"/>
    <n v="2"/>
  </r>
  <r>
    <x v="6"/>
    <n v="7"/>
    <s v="Chulube "/>
    <s v="Arbutus xalapensis"/>
    <s v="10 - 19.9"/>
    <n v="14.5"/>
    <n v="6"/>
    <n v="0.14522046"/>
    <n v="0.29044091999999999"/>
    <n v="0.16699575450000001"/>
    <n v="0.33399150900000002"/>
    <n v="2"/>
  </r>
  <r>
    <x v="6"/>
    <n v="8"/>
    <s v="Chulube "/>
    <s v="Arbutus xalapensis"/>
    <s v="10 - 19.9"/>
    <n v="17"/>
    <n v="7"/>
    <n v="0.10178783999999999"/>
    <n v="0.20357567999999998"/>
    <n v="0.202404743"/>
    <n v="0.404809486"/>
    <n v="2"/>
  </r>
  <r>
    <x v="6"/>
    <n v="9"/>
    <s v="Chulube "/>
    <s v="Arbutus xalapensis"/>
    <s v="10 - 19.9"/>
    <n v="12"/>
    <n v="7"/>
    <n v="0.1092719166"/>
    <n v="0.21854383320000001"/>
    <n v="0.15520825799999999"/>
    <n v="0.31041651599999998"/>
    <n v="2"/>
  </r>
  <r>
    <x v="6"/>
    <n v="10"/>
    <s v="Chulube "/>
    <s v="Arbutus xalapensis"/>
    <s v="10 - 19.9"/>
    <n v="11.8"/>
    <n v="6"/>
    <n v="0.19635"/>
    <n v="0.39269999999999999"/>
    <n v="0.14718439056000002"/>
    <n v="0.29436878112000003"/>
    <n v="2"/>
  </r>
  <r>
    <x v="7"/>
    <n v="1"/>
    <s v="Chulube "/>
    <s v="Arbutus xalapensis"/>
    <s v="10 - 19.9"/>
    <n v="15"/>
    <n v="12"/>
    <n v="0.11945934000000001"/>
    <n v="0.23891868000000002"/>
    <n v="0.23388456600000002"/>
    <n v="0.46776913200000003"/>
    <n v="2"/>
  </r>
  <r>
    <x v="7"/>
    <n v="2"/>
    <s v="Pino triste"/>
    <s v="Pinus pseudostrobus"/>
    <s v="10 - 19.9"/>
    <n v="16"/>
    <n v="14"/>
    <n v="2.0106240000000001E-2"/>
    <n v="4.0212480000000002E-2"/>
    <n v="0.1076022136"/>
    <n v="0.21520442719999999"/>
    <n v="2"/>
  </r>
  <r>
    <x v="7"/>
    <n v="3"/>
    <s v="Chulube "/>
    <s v="Arbutus xalapensis"/>
    <s v="30 - 39.9"/>
    <n v="30"/>
    <n v="17"/>
    <n v="1.6971708599999996E-2"/>
    <n v="3.3943417199999992E-2"/>
    <n v="0.81977196600000013"/>
    <n v="1.6395439320000003"/>
    <n v="2"/>
  </r>
  <r>
    <x v="7"/>
    <n v="4"/>
    <s v="Chulube "/>
    <s v="Arbutus xalapensis"/>
    <s v="20 - 29.9"/>
    <n v="26"/>
    <n v="16"/>
    <n v="7.5476940000000006E-2"/>
    <n v="0.15095388000000001"/>
    <n v="0.61127045000000013"/>
    <n v="1.2225409000000003"/>
    <n v="2"/>
  </r>
  <r>
    <x v="7"/>
    <n v="5"/>
    <s v="Chulube "/>
    <s v="Arbutus xalapensis"/>
    <s v="40 - 49.9"/>
    <n v="42"/>
    <n v="16"/>
    <n v="0.15343888560000002"/>
    <n v="0.30687777120000004"/>
    <n v="1.4207250419999999"/>
    <n v="2.8414500839999999"/>
    <n v="2"/>
  </r>
  <r>
    <x v="7"/>
    <n v="6"/>
    <s v="Chulube "/>
    <s v="Arbutus xalapensis"/>
    <s v="30 - 39.9"/>
    <n v="30"/>
    <n v="15"/>
    <n v="4.9087499999999999E-2"/>
    <n v="9.8174999999999998E-2"/>
    <n v="0.73607376600000007"/>
    <n v="1.4721475320000001"/>
    <n v="2"/>
  </r>
  <r>
    <x v="7"/>
    <n v="7"/>
    <s v="Chulube "/>
    <s v="Arbutus xalapensis"/>
    <s v="20 - 29.9"/>
    <n v="24"/>
    <n v="17"/>
    <n v="3.8013359999999996E-2"/>
    <n v="7.6026719999999992E-2"/>
    <n v="0.56365547400000005"/>
    <n v="1.1273109480000001"/>
    <n v="2"/>
  </r>
  <r>
    <x v="8"/>
    <n v="1"/>
    <s v="Ciprés"/>
    <s v="Cupresus lusitanica"/>
    <s v="40 - 49.9"/>
    <n v="43"/>
    <n v="23"/>
    <n v="0.14522046"/>
    <n v="0.29044091999999999"/>
    <n v="1.2430653540000001"/>
    <n v="2.4861307080000001"/>
    <n v="2"/>
  </r>
  <r>
    <x v="8"/>
    <n v="2"/>
    <s v="Ciprés"/>
    <s v="Cupresus lusitanica"/>
    <s v="30 - 39.9"/>
    <n v="36"/>
    <n v="19"/>
    <n v="0.10178783999999999"/>
    <n v="0.20357567999999998"/>
    <n v="0.72542875379999994"/>
    <n v="1.4508575075999999"/>
    <n v="2"/>
  </r>
  <r>
    <x v="8"/>
    <n v="3"/>
    <s v="Ciprés"/>
    <s v="Cupresus lusitanica"/>
    <s v="30 - 39.9"/>
    <n v="37.299999999999997"/>
    <n v="18"/>
    <n v="0.1092719166"/>
    <n v="0.21854383320000001"/>
    <n v="0.73754982934799984"/>
    <n v="1.4750996586959997"/>
    <n v="2"/>
  </r>
  <r>
    <x v="8"/>
    <n v="4"/>
    <s v="Ciprés"/>
    <s v="Cupresus lusitanica"/>
    <s v="60 - 69.9"/>
    <n v="50"/>
    <n v="20"/>
    <n v="0.19635"/>
    <n v="0.39269999999999999"/>
    <n v="1.4591351922"/>
    <n v="2.9182703844"/>
    <n v="2"/>
  </r>
  <r>
    <x v="8"/>
    <n v="5"/>
    <s v="Ciprés"/>
    <s v="Cupresus lusitanica"/>
    <s v="30 - 39.9"/>
    <n v="39"/>
    <n v="20"/>
    <n v="0.11945934000000001"/>
    <n v="0.23891868000000002"/>
    <n v="0.8930108202"/>
    <n v="1.7860216404"/>
    <n v="2"/>
  </r>
  <r>
    <x v="8"/>
    <n v="6"/>
    <s v="Ciprés"/>
    <s v="Cupresus lusitanica"/>
    <s v="10 - 19.9"/>
    <n v="16"/>
    <n v="12"/>
    <n v="2.0106240000000001E-2"/>
    <n v="4.0212480000000002E-2"/>
    <n v="0.102287157"/>
    <n v="0.20457431400000001"/>
    <n v="2"/>
  </r>
  <r>
    <x v="9"/>
    <n v="1"/>
    <s v="Ciprés"/>
    <s v="Cupresus lusitanica"/>
    <s v="10 - 19.9"/>
    <n v="14.7"/>
    <n v="14"/>
    <n v="1.6971708599999996E-2"/>
    <n v="3.3943417199999992E-2"/>
    <n v="0.100935744684"/>
    <n v="0.20187148936800001"/>
    <n v="2"/>
  </r>
  <r>
    <x v="9"/>
    <n v="2"/>
    <s v="Chulube "/>
    <s v="Arbutus xalapensis"/>
    <s v="30 - 39.9"/>
    <n v="31"/>
    <n v="19"/>
    <n v="0"/>
    <n v="0"/>
    <n v="0.95736250700000014"/>
    <n v="1.9147250140000003"/>
    <n v="2"/>
  </r>
  <r>
    <x v="9"/>
    <n v="3"/>
    <s v="Ciprés"/>
    <s v="Cupresus lusitanica"/>
    <s v="40 - 49.9"/>
    <n v="44.2"/>
    <n v="22"/>
    <n v="0.15343888560000002"/>
    <n v="0.30687777120000004"/>
    <n v="1.2561654372720001"/>
    <n v="2.5123308745440003"/>
    <n v="2"/>
  </r>
  <r>
    <x v="9"/>
    <n v="4"/>
    <s v="Chulube "/>
    <s v="Arbutus xalapensis"/>
    <s v="20 - 29.9"/>
    <n v="25"/>
    <n v="15"/>
    <n v="0"/>
    <n v="0"/>
    <n v="0.54426539100000004"/>
    <n v="1.0885307820000001"/>
    <n v="2"/>
  </r>
  <r>
    <x v="9"/>
    <n v="5"/>
    <s v="Chulube "/>
    <s v="Arbutus xalapensis"/>
    <s v="20 - 29.9"/>
    <n v="22"/>
    <n v="16"/>
    <n v="0"/>
    <n v="0"/>
    <n v="0.46842552200000004"/>
    <n v="0.93685104400000008"/>
    <n v="2"/>
  </r>
  <r>
    <x v="9"/>
    <n v="6"/>
    <s v="Chulube "/>
    <s v="Arbutus xalapensis"/>
    <s v="10 - 19.9"/>
    <n v="17.399999999999999"/>
    <n v="14"/>
    <n v="0"/>
    <n v="0"/>
    <n v="0.30542978735999998"/>
    <n v="0.61085957471999996"/>
    <n v="2"/>
  </r>
  <r>
    <x v="9"/>
    <n v="7"/>
    <s v="Chulube "/>
    <s v="Arbutus xalapensis"/>
    <s v="10 - 19.9"/>
    <n v="18"/>
    <n v="10"/>
    <n v="0"/>
    <n v="0"/>
    <n v="0.25899402599999999"/>
    <n v="0.51798805199999998"/>
    <n v="2"/>
  </r>
  <r>
    <x v="9"/>
    <n v="8"/>
    <s v="Chulube "/>
    <s v="Arbutus xalapensis"/>
    <s v="30 - 39.9"/>
    <n v="30"/>
    <n v="16"/>
    <n v="0"/>
    <n v="0"/>
    <n v="0.77792286600000005"/>
    <n v="1.5558457320000001"/>
    <n v="2"/>
  </r>
  <r>
    <x v="9"/>
    <n v="9"/>
    <s v="Pino triste"/>
    <s v="Pinus pseudostrobus"/>
    <s v="30 - 39.9"/>
    <n v="39.799999999999997"/>
    <n v="20"/>
    <n v="0.12441050159999997"/>
    <n v="0.24882100319999995"/>
    <n v="0.91131679695999979"/>
    <n v="1.8226335939199996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6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0" firstHeaderRow="1" firstDataRow="1" firstDataCol="1"/>
  <pivotFields count="12">
    <pivotField showAll="0"/>
    <pivotField dataField="1" showAll="0"/>
    <pivotField axis="axisRow" showAll="0">
      <items count="5">
        <item x="2"/>
        <item x="0"/>
        <item x="1"/>
        <item m="1" x="3"/>
        <item t="default"/>
      </items>
    </pivotField>
    <pivotField axis="axisRow" showAll="0">
      <items count="7">
        <item x="2"/>
        <item m="1" x="5"/>
        <item m="1" x="4"/>
        <item m="1" x="3"/>
        <item x="0"/>
        <item x="1"/>
        <item t="default"/>
      </items>
    </pivotField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</pivotFields>
  <rowFields count="2">
    <field x="3"/>
    <field x="2"/>
  </rowFields>
  <rowItems count="7">
    <i>
      <x/>
    </i>
    <i r="1">
      <x/>
    </i>
    <i>
      <x v="4"/>
    </i>
    <i r="1">
      <x v="1"/>
    </i>
    <i>
      <x v="5"/>
    </i>
    <i r="1">
      <x v="2"/>
    </i>
    <i t="grand">
      <x/>
    </i>
  </rowItems>
  <colItems count="1">
    <i/>
  </colItems>
  <dataFields count="1">
    <dataField name="Cuenta de No. Arbol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6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F8" firstHeaderRow="1" firstDataRow="2" firstDataCol="1"/>
  <pivotFields count="12">
    <pivotField showAll="0"/>
    <pivotField showAll="0"/>
    <pivotField showAll="0"/>
    <pivotField axis="axisRow" showAll="0">
      <items count="7">
        <item x="2"/>
        <item m="1" x="5"/>
        <item m="1" x="4"/>
        <item m="1" x="3"/>
        <item x="0"/>
        <item x="1"/>
        <item t="default"/>
      </items>
    </pivotField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3"/>
  </rowFields>
  <rowItems count="4">
    <i>
      <x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"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3" cacheId="6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No. De Parcela">
  <location ref="A3:F15" firstHeaderRow="1" firstDataRow="2" firstDataCol="1"/>
  <pivotFields count="1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1">
    <format dxfId="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5">
      <pivotArea outline="0" collapsedLevelsAreSubtotals="1" fieldPosition="0"/>
    </format>
    <format dxfId="34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0">
      <pivotArea outline="0" collapsedLevelsAreSubtotals="1" fieldPosition="0"/>
    </format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0">
      <pivotArea field="0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4" cacheId="6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Especie y Clase Diametrica">
  <location ref="A3:F21" firstHeaderRow="1" firstDataRow="2" firstDataCol="1"/>
  <pivotFields count="12">
    <pivotField showAll="0"/>
    <pivotField showAll="0"/>
    <pivotField showAll="0"/>
    <pivotField axis="axisRow" showAll="0">
      <items count="7">
        <item x="2"/>
        <item m="1" x="5"/>
        <item m="1" x="4"/>
        <item x="0"/>
        <item x="1"/>
        <item m="1" x="3"/>
        <item t="default"/>
      </items>
    </pivotField>
    <pivotField axis="axisRow" showAll="0">
      <items count="6">
        <item x="1"/>
        <item x="2"/>
        <item x="4"/>
        <item x="3"/>
        <item x="0"/>
        <item t="default"/>
      </items>
    </pivotField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2">
    <field x="3"/>
    <field x="4"/>
  </rowFields>
  <rowItems count="17">
    <i>
      <x/>
    </i>
    <i r="1">
      <x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17"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4">
      <pivotArea field="3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">
      <pivotArea field="3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outline="0" collapsedLevelsAreSubtotals="1" fieldPosition="0"/>
    </format>
    <format dxfId="0">
      <pivotArea field="3" grandRow="1" outline="0" collapsedLevelsAreSubtotals="1" axis="axisRow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zoomScale="78" zoomScaleNormal="78" workbookViewId="0">
      <selection activeCell="L3" sqref="L3"/>
    </sheetView>
  </sheetViews>
  <sheetFormatPr baseColWidth="10" defaultColWidth="11.42578125" defaultRowHeight="15" x14ac:dyDescent="0.25"/>
  <cols>
    <col min="1" max="1" width="9.140625" customWidth="1"/>
    <col min="2" max="2" width="9.5703125" customWidth="1"/>
    <col min="3" max="3" width="13" style="4" customWidth="1"/>
    <col min="4" max="4" width="21.7109375" customWidth="1"/>
    <col min="6" max="6" width="11.42578125" style="71"/>
  </cols>
  <sheetData>
    <row r="1" spans="1:15" ht="24" x14ac:dyDescent="0.25">
      <c r="A1" s="84" t="s">
        <v>0</v>
      </c>
      <c r="B1" s="84" t="s">
        <v>1</v>
      </c>
      <c r="C1" s="85" t="s">
        <v>2</v>
      </c>
      <c r="D1" s="84" t="s">
        <v>3</v>
      </c>
      <c r="E1" s="84" t="s">
        <v>4</v>
      </c>
      <c r="F1" s="86" t="s">
        <v>5</v>
      </c>
      <c r="G1" s="84" t="s">
        <v>6</v>
      </c>
      <c r="H1" s="84" t="s">
        <v>7</v>
      </c>
      <c r="I1" s="84" t="s">
        <v>8</v>
      </c>
      <c r="J1" s="84" t="s">
        <v>9</v>
      </c>
      <c r="K1" s="84" t="s">
        <v>10</v>
      </c>
      <c r="L1" s="84" t="s">
        <v>11</v>
      </c>
      <c r="M1" s="53" t="s">
        <v>53</v>
      </c>
      <c r="N1" s="54"/>
      <c r="O1" s="54"/>
    </row>
    <row r="2" spans="1:15" x14ac:dyDescent="0.25">
      <c r="A2" s="8">
        <v>1</v>
      </c>
      <c r="B2" s="8">
        <v>1</v>
      </c>
      <c r="C2" s="10" t="s">
        <v>59</v>
      </c>
      <c r="D2" s="8" t="s">
        <v>65</v>
      </c>
      <c r="E2" s="8" t="s">
        <v>60</v>
      </c>
      <c r="F2" s="70">
        <v>49.5</v>
      </c>
      <c r="G2" s="8">
        <v>17</v>
      </c>
      <c r="H2" s="11">
        <f>0.7854*(F13/100)^2</f>
        <v>0.30974919360000003</v>
      </c>
      <c r="I2" s="87">
        <f>H2*1/$O$3</f>
        <v>0.61949838720000006</v>
      </c>
      <c r="J2" s="11">
        <f>(0.0050811768+0.0000286052*(F2^2*G2))</f>
        <v>1.1966093288999999</v>
      </c>
      <c r="K2" s="87">
        <f>J2/$O$3</f>
        <v>2.3932186577999999</v>
      </c>
      <c r="L2" s="87">
        <f>1*1/$O$3</f>
        <v>2</v>
      </c>
      <c r="M2" s="54"/>
      <c r="N2" s="55" t="s">
        <v>55</v>
      </c>
      <c r="O2" s="55" t="s">
        <v>54</v>
      </c>
    </row>
    <row r="3" spans="1:15" x14ac:dyDescent="0.25">
      <c r="A3" s="8">
        <v>1</v>
      </c>
      <c r="B3" s="8">
        <v>2</v>
      </c>
      <c r="C3" s="10" t="s">
        <v>61</v>
      </c>
      <c r="D3" s="88" t="s">
        <v>64</v>
      </c>
      <c r="E3" s="8" t="s">
        <v>51</v>
      </c>
      <c r="F3" s="70">
        <v>12.5</v>
      </c>
      <c r="G3" s="8">
        <v>7</v>
      </c>
      <c r="H3" s="11">
        <f>0.7854*(F14/100)^2</f>
        <v>1.5393840000000002E-2</v>
      </c>
      <c r="I3" s="87">
        <f t="shared" ref="I3:I69" si="0">H3*1/$O$3</f>
        <v>3.0787680000000005E-2</v>
      </c>
      <c r="J3" s="11">
        <f>(0.108337266+0.000046499*(F3^2*G3))</f>
        <v>0.15919554725000001</v>
      </c>
      <c r="K3" s="87">
        <f t="shared" ref="K3:K84" si="1">J3/$O$3</f>
        <v>0.31839109450000003</v>
      </c>
      <c r="L3" s="87">
        <f t="shared" ref="L3:L77" si="2">1*1/$O$3</f>
        <v>2</v>
      </c>
      <c r="M3" s="54"/>
      <c r="N3" s="56">
        <v>5000</v>
      </c>
      <c r="O3" s="57">
        <f>N3/10000</f>
        <v>0.5</v>
      </c>
    </row>
    <row r="4" spans="1:15" x14ac:dyDescent="0.25">
      <c r="A4" s="8">
        <v>1</v>
      </c>
      <c r="B4" s="8">
        <v>3</v>
      </c>
      <c r="C4" s="10" t="s">
        <v>61</v>
      </c>
      <c r="D4" s="88" t="s">
        <v>64</v>
      </c>
      <c r="E4" s="8" t="s">
        <v>51</v>
      </c>
      <c r="F4" s="70">
        <v>10.6</v>
      </c>
      <c r="G4" s="8">
        <v>7</v>
      </c>
      <c r="H4" s="11">
        <f>0.7854*(F15/100)^2</f>
        <v>1.3273260000000002E-2</v>
      </c>
      <c r="I4" s="87">
        <f t="shared" ref="I4" si="3">H4*1/$O$3</f>
        <v>2.6546520000000004E-2</v>
      </c>
      <c r="J4" s="11">
        <f>(0.108337266+0.000046499*(F4^2*G4))</f>
        <v>0.14490965948000001</v>
      </c>
      <c r="K4" s="87">
        <f t="shared" ref="K4" si="4">J4/$O$3</f>
        <v>0.28981931896000002</v>
      </c>
      <c r="L4" s="87">
        <f t="shared" si="2"/>
        <v>2</v>
      </c>
      <c r="M4" s="54"/>
      <c r="N4" s="54"/>
      <c r="O4" s="54"/>
    </row>
    <row r="5" spans="1:15" x14ac:dyDescent="0.25">
      <c r="A5" s="8">
        <v>1</v>
      </c>
      <c r="B5" s="8">
        <v>4</v>
      </c>
      <c r="C5" s="10" t="s">
        <v>56</v>
      </c>
      <c r="D5" s="8" t="s">
        <v>57</v>
      </c>
      <c r="E5" s="8" t="s">
        <v>51</v>
      </c>
      <c r="F5" s="70">
        <v>10.3</v>
      </c>
      <c r="G5" s="8">
        <v>8</v>
      </c>
      <c r="H5" s="11">
        <f>0.7854*(F16/100)^2</f>
        <v>1.0028772600000001E-2</v>
      </c>
      <c r="I5" s="87">
        <f t="shared" si="0"/>
        <v>2.0057545200000002E-2</v>
      </c>
      <c r="J5" s="11">
        <f>(0.0134651922+0.0000289134*(F5^2*G5))</f>
        <v>3.8004573048000007E-2</v>
      </c>
      <c r="K5" s="87">
        <f t="shared" si="1"/>
        <v>7.6009146096000013E-2</v>
      </c>
      <c r="L5" s="87">
        <f t="shared" si="2"/>
        <v>2</v>
      </c>
      <c r="M5" s="54"/>
      <c r="N5" s="54"/>
      <c r="O5" s="54"/>
    </row>
    <row r="6" spans="1:15" x14ac:dyDescent="0.25">
      <c r="A6" s="8">
        <v>1</v>
      </c>
      <c r="B6" s="8">
        <v>5</v>
      </c>
      <c r="C6" s="10" t="s">
        <v>56</v>
      </c>
      <c r="D6" s="8" t="s">
        <v>57</v>
      </c>
      <c r="E6" s="8" t="s">
        <v>51</v>
      </c>
      <c r="F6" s="70">
        <v>10</v>
      </c>
      <c r="G6" s="8">
        <v>9</v>
      </c>
      <c r="H6" s="11">
        <f>0.7854*(F17/100)^2</f>
        <v>1.6513034999999999E-2</v>
      </c>
      <c r="I6" s="87">
        <f t="shared" si="0"/>
        <v>3.3026069999999998E-2</v>
      </c>
      <c r="J6" s="11">
        <f>(0.0134651922+0.0000289134*(F6^2*G6))</f>
        <v>3.9487252200000003E-2</v>
      </c>
      <c r="K6" s="87">
        <f t="shared" si="1"/>
        <v>7.8974504400000006E-2</v>
      </c>
      <c r="L6" s="87">
        <f t="shared" si="2"/>
        <v>2</v>
      </c>
      <c r="M6" s="54"/>
      <c r="N6" s="54"/>
      <c r="O6" s="54"/>
    </row>
    <row r="7" spans="1:15" x14ac:dyDescent="0.25">
      <c r="A7" s="8">
        <v>1</v>
      </c>
      <c r="B7" s="8">
        <v>6</v>
      </c>
      <c r="C7" s="10" t="s">
        <v>61</v>
      </c>
      <c r="D7" s="88" t="s">
        <v>64</v>
      </c>
      <c r="E7" s="8" t="s">
        <v>51</v>
      </c>
      <c r="F7" s="70">
        <v>18</v>
      </c>
      <c r="G7" s="8">
        <v>10</v>
      </c>
      <c r="H7" s="11">
        <f t="shared" ref="H7:H12" si="5">0.7854*(F18/100)^2</f>
        <v>1.4957157600000002E-2</v>
      </c>
      <c r="I7" s="87">
        <f t="shared" ref="I7:I12" si="6">H7*1/$O$3</f>
        <v>2.9914315200000003E-2</v>
      </c>
      <c r="J7" s="11">
        <f t="shared" ref="J7:J12" si="7">(0.108337266+0.000046499*(F7^2*G7))</f>
        <v>0.25899402599999999</v>
      </c>
      <c r="K7" s="87">
        <f t="shared" ref="K7:K12" si="8">J7/$O$3</f>
        <v>0.51798805199999998</v>
      </c>
      <c r="L7" s="87">
        <f t="shared" si="2"/>
        <v>2</v>
      </c>
      <c r="M7" s="54"/>
      <c r="N7" s="54"/>
      <c r="O7" s="54"/>
    </row>
    <row r="8" spans="1:15" s="1" customFormat="1" x14ac:dyDescent="0.25">
      <c r="A8" s="8">
        <v>1</v>
      </c>
      <c r="B8" s="8">
        <v>7</v>
      </c>
      <c r="C8" s="10" t="s">
        <v>61</v>
      </c>
      <c r="D8" s="88" t="s">
        <v>64</v>
      </c>
      <c r="E8" s="8" t="s">
        <v>51</v>
      </c>
      <c r="F8" s="70">
        <v>10.3</v>
      </c>
      <c r="G8" s="68">
        <v>10</v>
      </c>
      <c r="H8" s="11">
        <f t="shared" si="5"/>
        <v>2.2698060000000003E-2</v>
      </c>
      <c r="I8" s="87">
        <f t="shared" si="6"/>
        <v>4.5396120000000005E-2</v>
      </c>
      <c r="J8" s="11">
        <f t="shared" si="7"/>
        <v>0.15766805510000001</v>
      </c>
      <c r="K8" s="87">
        <f t="shared" si="8"/>
        <v>0.31533611020000002</v>
      </c>
      <c r="L8" s="87">
        <f t="shared" si="2"/>
        <v>2</v>
      </c>
      <c r="M8" s="54"/>
      <c r="N8" s="54"/>
      <c r="O8" s="54"/>
    </row>
    <row r="9" spans="1:15" s="1" customFormat="1" x14ac:dyDescent="0.25">
      <c r="A9" s="8">
        <v>1</v>
      </c>
      <c r="B9" s="89">
        <v>8</v>
      </c>
      <c r="C9" s="10" t="s">
        <v>61</v>
      </c>
      <c r="D9" s="88" t="s">
        <v>64</v>
      </c>
      <c r="E9" s="8" t="s">
        <v>51</v>
      </c>
      <c r="F9" s="70">
        <v>14</v>
      </c>
      <c r="G9" s="68">
        <v>11</v>
      </c>
      <c r="H9" s="11">
        <f t="shared" si="5"/>
        <v>1.5393840000000002E-2</v>
      </c>
      <c r="I9" s="87">
        <f t="shared" si="6"/>
        <v>3.0787680000000005E-2</v>
      </c>
      <c r="J9" s="11">
        <f t="shared" si="7"/>
        <v>0.20858911000000002</v>
      </c>
      <c r="K9" s="87">
        <f t="shared" si="8"/>
        <v>0.41717822000000004</v>
      </c>
      <c r="L9" s="87">
        <f t="shared" si="2"/>
        <v>2</v>
      </c>
      <c r="M9" s="54"/>
      <c r="N9" s="54"/>
      <c r="O9" s="54"/>
    </row>
    <row r="10" spans="1:15" s="1" customFormat="1" x14ac:dyDescent="0.25">
      <c r="A10" s="8">
        <v>1</v>
      </c>
      <c r="B10" s="89">
        <v>9</v>
      </c>
      <c r="C10" s="10" t="s">
        <v>61</v>
      </c>
      <c r="D10" s="88" t="s">
        <v>64</v>
      </c>
      <c r="E10" s="8" t="s">
        <v>51</v>
      </c>
      <c r="F10" s="70">
        <v>19</v>
      </c>
      <c r="G10" s="68">
        <v>11</v>
      </c>
      <c r="H10" s="11">
        <f t="shared" si="5"/>
        <v>2.2698060000000003E-2</v>
      </c>
      <c r="I10" s="87">
        <f t="shared" si="6"/>
        <v>4.5396120000000005E-2</v>
      </c>
      <c r="J10" s="11">
        <f t="shared" si="7"/>
        <v>0.29298479500000002</v>
      </c>
      <c r="K10" s="87">
        <f t="shared" si="8"/>
        <v>0.58596959000000004</v>
      </c>
      <c r="L10" s="87">
        <f t="shared" si="2"/>
        <v>2</v>
      </c>
      <c r="M10" s="54"/>
      <c r="N10" s="54"/>
      <c r="O10" s="54"/>
    </row>
    <row r="11" spans="1:15" s="1" customFormat="1" x14ac:dyDescent="0.25">
      <c r="A11" s="8">
        <v>1</v>
      </c>
      <c r="B11" s="89">
        <v>10</v>
      </c>
      <c r="C11" s="10" t="s">
        <v>61</v>
      </c>
      <c r="D11" s="88" t="s">
        <v>64</v>
      </c>
      <c r="E11" s="8" t="s">
        <v>51</v>
      </c>
      <c r="F11" s="70">
        <v>17</v>
      </c>
      <c r="G11" s="68">
        <v>10</v>
      </c>
      <c r="H11" s="11">
        <f t="shared" si="5"/>
        <v>2.835294E-2</v>
      </c>
      <c r="I11" s="87">
        <f t="shared" si="6"/>
        <v>5.670588E-2</v>
      </c>
      <c r="J11" s="11">
        <f t="shared" si="7"/>
        <v>0.24271937599999999</v>
      </c>
      <c r="K11" s="87">
        <f t="shared" si="8"/>
        <v>0.48543875199999997</v>
      </c>
      <c r="L11" s="87">
        <f t="shared" si="2"/>
        <v>2</v>
      </c>
      <c r="M11" s="54"/>
      <c r="N11" s="54"/>
      <c r="O11" s="54"/>
    </row>
    <row r="12" spans="1:15" s="1" customFormat="1" x14ac:dyDescent="0.25">
      <c r="A12" s="8">
        <v>1</v>
      </c>
      <c r="B12" s="89">
        <v>11</v>
      </c>
      <c r="C12" s="10" t="s">
        <v>61</v>
      </c>
      <c r="D12" s="88" t="s">
        <v>64</v>
      </c>
      <c r="E12" s="8" t="s">
        <v>52</v>
      </c>
      <c r="F12" s="70">
        <v>20.8</v>
      </c>
      <c r="G12" s="68">
        <v>10</v>
      </c>
      <c r="H12" s="11">
        <f t="shared" si="5"/>
        <v>2.0106240000000001E-2</v>
      </c>
      <c r="I12" s="87">
        <f t="shared" si="6"/>
        <v>4.0212480000000002E-2</v>
      </c>
      <c r="J12" s="11">
        <f t="shared" si="7"/>
        <v>0.30951053960000002</v>
      </c>
      <c r="K12" s="87">
        <f t="shared" si="8"/>
        <v>0.61902107920000005</v>
      </c>
      <c r="L12" s="87">
        <f t="shared" si="2"/>
        <v>2</v>
      </c>
      <c r="M12" s="54"/>
      <c r="N12" s="54"/>
      <c r="O12" s="54"/>
    </row>
    <row r="13" spans="1:15" s="1" customFormat="1" x14ac:dyDescent="0.25">
      <c r="A13" s="8">
        <v>2</v>
      </c>
      <c r="B13" s="8">
        <v>1</v>
      </c>
      <c r="C13" s="10" t="s">
        <v>59</v>
      </c>
      <c r="D13" s="8" t="s">
        <v>65</v>
      </c>
      <c r="E13" s="8" t="s">
        <v>62</v>
      </c>
      <c r="F13" s="70">
        <v>62.8</v>
      </c>
      <c r="G13" s="68">
        <v>23</v>
      </c>
      <c r="H13" s="11">
        <f t="shared" ref="H13:H18" si="9">0.7854*(F24/100)^2</f>
        <v>9.079224000000001E-2</v>
      </c>
      <c r="I13" s="87">
        <f t="shared" ref="I13:I18" si="10">H13*1/$O$3</f>
        <v>0.18158448000000002</v>
      </c>
      <c r="J13" s="11">
        <f>(0.0050811768+0.0000286052*(F13^2*G13))</f>
        <v>2.5998108120639998</v>
      </c>
      <c r="K13" s="87">
        <f t="shared" ref="K13:K18" si="11">J13/$O$3</f>
        <v>5.1996216241279996</v>
      </c>
      <c r="L13" s="87">
        <f t="shared" si="2"/>
        <v>2</v>
      </c>
      <c r="M13" s="54"/>
      <c r="N13" s="54"/>
      <c r="O13" s="54"/>
    </row>
    <row r="14" spans="1:15" s="1" customFormat="1" x14ac:dyDescent="0.25">
      <c r="A14" s="8">
        <v>2</v>
      </c>
      <c r="B14" s="8">
        <v>2</v>
      </c>
      <c r="C14" s="10" t="s">
        <v>61</v>
      </c>
      <c r="D14" s="88" t="s">
        <v>64</v>
      </c>
      <c r="E14" s="8" t="s">
        <v>51</v>
      </c>
      <c r="F14" s="70">
        <v>14</v>
      </c>
      <c r="G14" s="68">
        <v>10</v>
      </c>
      <c r="H14" s="11">
        <f t="shared" si="9"/>
        <v>2.9559314399999991E-2</v>
      </c>
      <c r="I14" s="87">
        <f t="shared" si="10"/>
        <v>5.9118628799999982E-2</v>
      </c>
      <c r="J14" s="11">
        <f t="shared" ref="J14:J15" si="12">(0.108337266+0.000046499*(F14^2*G14))</f>
        <v>0.19947530600000002</v>
      </c>
      <c r="K14" s="87">
        <f t="shared" si="11"/>
        <v>0.39895061200000004</v>
      </c>
      <c r="L14" s="87">
        <f t="shared" si="2"/>
        <v>2</v>
      </c>
      <c r="M14" s="54"/>
      <c r="N14" s="54"/>
      <c r="O14" s="54"/>
    </row>
    <row r="15" spans="1:15" s="1" customFormat="1" x14ac:dyDescent="0.25">
      <c r="A15" s="8">
        <v>2</v>
      </c>
      <c r="B15" s="8">
        <v>3</v>
      </c>
      <c r="C15" s="10" t="s">
        <v>61</v>
      </c>
      <c r="D15" s="88" t="s">
        <v>64</v>
      </c>
      <c r="E15" s="8" t="s">
        <v>51</v>
      </c>
      <c r="F15" s="70">
        <v>13</v>
      </c>
      <c r="G15" s="68">
        <v>11</v>
      </c>
      <c r="H15" s="11">
        <f t="shared" si="9"/>
        <v>4.154766E-2</v>
      </c>
      <c r="I15" s="87">
        <f t="shared" si="10"/>
        <v>8.309532E-2</v>
      </c>
      <c r="J15" s="11">
        <f t="shared" si="12"/>
        <v>0.194778907</v>
      </c>
      <c r="K15" s="87">
        <f t="shared" si="11"/>
        <v>0.389557814</v>
      </c>
      <c r="L15" s="87">
        <f t="shared" si="2"/>
        <v>2</v>
      </c>
      <c r="M15" s="54"/>
      <c r="N15" s="54"/>
      <c r="O15" s="54"/>
    </row>
    <row r="16" spans="1:15" s="1" customFormat="1" x14ac:dyDescent="0.25">
      <c r="A16" s="8">
        <v>2</v>
      </c>
      <c r="B16" s="8">
        <v>4</v>
      </c>
      <c r="C16" s="10" t="s">
        <v>59</v>
      </c>
      <c r="D16" s="8" t="s">
        <v>65</v>
      </c>
      <c r="E16" s="8" t="s">
        <v>51</v>
      </c>
      <c r="F16" s="70">
        <v>11.3</v>
      </c>
      <c r="G16" s="68">
        <v>10</v>
      </c>
      <c r="H16" s="11">
        <f t="shared" si="9"/>
        <v>3.1416000000000006E-2</v>
      </c>
      <c r="I16" s="87">
        <f t="shared" si="10"/>
        <v>6.2832000000000013E-2</v>
      </c>
      <c r="J16" s="11">
        <f t="shared" ref="J16:J19" si="13">(0.0050811768+0.0000286052*(F16^2*G16))</f>
        <v>4.1607156680000007E-2</v>
      </c>
      <c r="K16" s="87">
        <f t="shared" si="11"/>
        <v>8.3214313360000014E-2</v>
      </c>
      <c r="L16" s="87">
        <f t="shared" si="2"/>
        <v>2</v>
      </c>
      <c r="M16" s="54"/>
      <c r="N16" s="54"/>
      <c r="O16" s="54"/>
    </row>
    <row r="17" spans="1:15" s="1" customFormat="1" x14ac:dyDescent="0.25">
      <c r="A17" s="8">
        <v>2</v>
      </c>
      <c r="B17" s="8">
        <v>5</v>
      </c>
      <c r="C17" s="10" t="s">
        <v>59</v>
      </c>
      <c r="D17" s="8" t="s">
        <v>65</v>
      </c>
      <c r="E17" s="8" t="s">
        <v>51</v>
      </c>
      <c r="F17" s="70">
        <v>14.5</v>
      </c>
      <c r="G17" s="68">
        <v>13</v>
      </c>
      <c r="H17" s="11">
        <f t="shared" si="9"/>
        <v>3.1416000000000006E-2</v>
      </c>
      <c r="I17" s="87">
        <f t="shared" si="10"/>
        <v>6.2832000000000013E-2</v>
      </c>
      <c r="J17" s="11">
        <f t="shared" si="13"/>
        <v>8.3266339699999997E-2</v>
      </c>
      <c r="K17" s="87">
        <f t="shared" si="11"/>
        <v>0.16653267939999999</v>
      </c>
      <c r="L17" s="87">
        <f t="shared" si="2"/>
        <v>2</v>
      </c>
      <c r="M17" s="54"/>
      <c r="N17" s="54"/>
      <c r="O17" s="54"/>
    </row>
    <row r="18" spans="1:15" s="1" customFormat="1" x14ac:dyDescent="0.25">
      <c r="A18" s="8">
        <v>2</v>
      </c>
      <c r="B18" s="8">
        <v>6</v>
      </c>
      <c r="C18" s="10" t="s">
        <v>59</v>
      </c>
      <c r="D18" s="8" t="s">
        <v>65</v>
      </c>
      <c r="E18" s="8" t="s">
        <v>51</v>
      </c>
      <c r="F18" s="70">
        <v>13.8</v>
      </c>
      <c r="G18" s="68">
        <v>13</v>
      </c>
      <c r="H18" s="11">
        <f t="shared" si="9"/>
        <v>5.3093040000000008E-2</v>
      </c>
      <c r="I18" s="87">
        <f t="shared" si="10"/>
        <v>0.10618608000000002</v>
      </c>
      <c r="J18" s="11">
        <f t="shared" si="13"/>
        <v>7.5899642544000001E-2</v>
      </c>
      <c r="K18" s="87">
        <f t="shared" si="11"/>
        <v>0.151799285088</v>
      </c>
      <c r="L18" s="87">
        <f t="shared" si="2"/>
        <v>2</v>
      </c>
      <c r="M18" s="54"/>
      <c r="N18" s="54"/>
      <c r="O18" s="54"/>
    </row>
    <row r="19" spans="1:15" x14ac:dyDescent="0.25">
      <c r="A19" s="8">
        <v>3</v>
      </c>
      <c r="B19" s="8">
        <v>1</v>
      </c>
      <c r="C19" s="10" t="s">
        <v>59</v>
      </c>
      <c r="D19" s="8" t="s">
        <v>65</v>
      </c>
      <c r="E19" s="8" t="s">
        <v>51</v>
      </c>
      <c r="F19" s="70">
        <v>17</v>
      </c>
      <c r="G19" s="68">
        <v>11</v>
      </c>
      <c r="H19" s="11">
        <f t="shared" ref="H19:H69" si="14">0.7854*(F19/100)^2</f>
        <v>2.2698060000000003E-2</v>
      </c>
      <c r="I19" s="87">
        <f t="shared" si="0"/>
        <v>4.5396120000000005E-2</v>
      </c>
      <c r="J19" s="11">
        <f t="shared" si="13"/>
        <v>9.6017107599999998E-2</v>
      </c>
      <c r="K19" s="87">
        <f t="shared" si="1"/>
        <v>0.1920342152</v>
      </c>
      <c r="L19" s="87">
        <f t="shared" si="2"/>
        <v>2</v>
      </c>
      <c r="M19" s="54"/>
    </row>
    <row r="20" spans="1:15" x14ac:dyDescent="0.25">
      <c r="A20" s="8">
        <v>3</v>
      </c>
      <c r="B20" s="8">
        <v>2</v>
      </c>
      <c r="C20" s="10" t="s">
        <v>61</v>
      </c>
      <c r="D20" s="88" t="s">
        <v>64</v>
      </c>
      <c r="E20" s="8" t="s">
        <v>51</v>
      </c>
      <c r="F20" s="70">
        <v>14</v>
      </c>
      <c r="G20" s="68">
        <v>10</v>
      </c>
      <c r="H20" s="11">
        <f t="shared" ref="H20:H23" si="15">0.7854*(F31/100)^2</f>
        <v>8.5530060000000005E-2</v>
      </c>
      <c r="I20" s="87">
        <f t="shared" ref="I20:I23" si="16">H20*1/$O$3</f>
        <v>0.17106012000000001</v>
      </c>
      <c r="J20" s="11">
        <f t="shared" ref="J20:J23" si="17">(0.108337266+0.000046499*(F20^2*G20))</f>
        <v>0.19947530600000002</v>
      </c>
      <c r="K20" s="87">
        <f t="shared" ref="K20:K23" si="18">J20/$O$3</f>
        <v>0.39895061200000004</v>
      </c>
      <c r="L20" s="87">
        <f t="shared" si="2"/>
        <v>2</v>
      </c>
      <c r="M20" s="54"/>
    </row>
    <row r="21" spans="1:15" s="1" customFormat="1" x14ac:dyDescent="0.25">
      <c r="A21" s="8">
        <v>3</v>
      </c>
      <c r="B21" s="8">
        <v>3</v>
      </c>
      <c r="C21" s="10" t="s">
        <v>61</v>
      </c>
      <c r="D21" s="88" t="s">
        <v>64</v>
      </c>
      <c r="E21" s="8" t="s">
        <v>51</v>
      </c>
      <c r="F21" s="70">
        <v>17</v>
      </c>
      <c r="G21" s="68">
        <v>12</v>
      </c>
      <c r="H21" s="11">
        <f t="shared" si="15"/>
        <v>8.3982036600000004E-2</v>
      </c>
      <c r="I21" s="87">
        <f t="shared" si="16"/>
        <v>0.16796407320000001</v>
      </c>
      <c r="J21" s="11">
        <f t="shared" si="17"/>
        <v>0.269595798</v>
      </c>
      <c r="K21" s="87">
        <f t="shared" si="18"/>
        <v>0.539191596</v>
      </c>
      <c r="L21" s="87">
        <f t="shared" si="2"/>
        <v>2</v>
      </c>
      <c r="M21" s="54"/>
    </row>
    <row r="22" spans="1:15" s="1" customFormat="1" x14ac:dyDescent="0.25">
      <c r="A22" s="8">
        <v>3</v>
      </c>
      <c r="B22" s="8">
        <v>4</v>
      </c>
      <c r="C22" s="10" t="s">
        <v>61</v>
      </c>
      <c r="D22" s="88" t="s">
        <v>64</v>
      </c>
      <c r="E22" s="8" t="s">
        <v>51</v>
      </c>
      <c r="F22" s="70">
        <v>19</v>
      </c>
      <c r="G22" s="68">
        <v>13</v>
      </c>
      <c r="H22" s="11">
        <f t="shared" si="15"/>
        <v>1.6513034999999999E-2</v>
      </c>
      <c r="I22" s="87">
        <f t="shared" si="16"/>
        <v>3.3026069999999998E-2</v>
      </c>
      <c r="J22" s="11">
        <f t="shared" si="17"/>
        <v>0.32655707300000003</v>
      </c>
      <c r="K22" s="87">
        <f t="shared" si="18"/>
        <v>0.65311414600000006</v>
      </c>
      <c r="L22" s="87">
        <f t="shared" si="2"/>
        <v>2</v>
      </c>
      <c r="M22" s="54"/>
    </row>
    <row r="23" spans="1:15" s="1" customFormat="1" x14ac:dyDescent="0.25">
      <c r="A23" s="8">
        <v>3</v>
      </c>
      <c r="B23" s="8">
        <v>5</v>
      </c>
      <c r="C23" s="10" t="s">
        <v>61</v>
      </c>
      <c r="D23" s="88" t="s">
        <v>64</v>
      </c>
      <c r="E23" s="8" t="s">
        <v>51</v>
      </c>
      <c r="F23" s="70">
        <v>16</v>
      </c>
      <c r="G23" s="68">
        <v>14</v>
      </c>
      <c r="H23" s="11">
        <f t="shared" si="15"/>
        <v>8.6569929600000012E-2</v>
      </c>
      <c r="I23" s="87">
        <f t="shared" si="16"/>
        <v>0.17313985920000002</v>
      </c>
      <c r="J23" s="11">
        <f t="shared" si="17"/>
        <v>0.27498968200000001</v>
      </c>
      <c r="K23" s="87">
        <f t="shared" si="18"/>
        <v>0.54997936400000003</v>
      </c>
      <c r="L23" s="87">
        <f t="shared" si="2"/>
        <v>2</v>
      </c>
      <c r="M23" s="54"/>
    </row>
    <row r="24" spans="1:15" x14ac:dyDescent="0.25">
      <c r="A24" s="8">
        <v>3</v>
      </c>
      <c r="B24" s="8">
        <v>6</v>
      </c>
      <c r="C24" s="10" t="s">
        <v>59</v>
      </c>
      <c r="D24" s="8" t="s">
        <v>65</v>
      </c>
      <c r="E24" s="8" t="s">
        <v>58</v>
      </c>
      <c r="F24" s="70">
        <v>34</v>
      </c>
      <c r="G24" s="68">
        <v>18</v>
      </c>
      <c r="H24" s="11">
        <f t="shared" si="14"/>
        <v>9.079224000000001E-2</v>
      </c>
      <c r="I24" s="87">
        <f t="shared" si="0"/>
        <v>0.18158448000000002</v>
      </c>
      <c r="J24" s="11">
        <f t="shared" ref="J24:J29" si="19">(0.0050811768+0.0000286052*(F24^2*G24))</f>
        <v>0.60029817839999999</v>
      </c>
      <c r="K24" s="87">
        <f t="shared" si="1"/>
        <v>1.2005963568</v>
      </c>
      <c r="L24" s="87">
        <f t="shared" si="2"/>
        <v>2</v>
      </c>
      <c r="M24" s="54"/>
    </row>
    <row r="25" spans="1:15" x14ac:dyDescent="0.25">
      <c r="A25" s="8">
        <v>3</v>
      </c>
      <c r="B25" s="8">
        <v>7</v>
      </c>
      <c r="C25" s="10" t="s">
        <v>59</v>
      </c>
      <c r="D25" s="8" t="s">
        <v>65</v>
      </c>
      <c r="E25" s="8" t="s">
        <v>51</v>
      </c>
      <c r="F25" s="70">
        <v>19.399999999999999</v>
      </c>
      <c r="G25" s="68">
        <v>13</v>
      </c>
      <c r="H25" s="11">
        <f t="shared" si="14"/>
        <v>2.9559314399999991E-2</v>
      </c>
      <c r="I25" s="87">
        <f t="shared" si="0"/>
        <v>5.9118628799999982E-2</v>
      </c>
      <c r="J25" s="11">
        <f t="shared" si="19"/>
        <v>0.14503726673599998</v>
      </c>
      <c r="K25" s="87">
        <f t="shared" si="1"/>
        <v>0.29007453347199996</v>
      </c>
      <c r="L25" s="87">
        <f t="shared" si="2"/>
        <v>2</v>
      </c>
      <c r="M25" s="54"/>
    </row>
    <row r="26" spans="1:15" s="1" customFormat="1" x14ac:dyDescent="0.25">
      <c r="A26" s="8">
        <v>3</v>
      </c>
      <c r="B26" s="89">
        <v>8</v>
      </c>
      <c r="C26" s="10" t="s">
        <v>59</v>
      </c>
      <c r="D26" s="8" t="s">
        <v>65</v>
      </c>
      <c r="E26" s="8" t="s">
        <v>52</v>
      </c>
      <c r="F26" s="70">
        <v>23</v>
      </c>
      <c r="G26" s="68">
        <v>14</v>
      </c>
      <c r="H26" s="11">
        <f t="shared" si="14"/>
        <v>4.154766E-2</v>
      </c>
      <c r="I26" s="87">
        <f t="shared" si="0"/>
        <v>8.309532E-2</v>
      </c>
      <c r="J26" s="11">
        <f t="shared" si="19"/>
        <v>0.216931288</v>
      </c>
      <c r="K26" s="87">
        <f t="shared" si="1"/>
        <v>0.433862576</v>
      </c>
      <c r="L26" s="87">
        <f t="shared" si="2"/>
        <v>2</v>
      </c>
      <c r="M26" s="54"/>
    </row>
    <row r="27" spans="1:15" s="1" customFormat="1" x14ac:dyDescent="0.25">
      <c r="A27" s="8">
        <v>3</v>
      </c>
      <c r="B27" s="89">
        <v>9</v>
      </c>
      <c r="C27" s="10" t="s">
        <v>59</v>
      </c>
      <c r="D27" s="8" t="s">
        <v>65</v>
      </c>
      <c r="E27" s="8" t="s">
        <v>52</v>
      </c>
      <c r="F27" s="70">
        <v>20</v>
      </c>
      <c r="G27" s="68">
        <v>15</v>
      </c>
      <c r="H27" s="11">
        <f t="shared" si="14"/>
        <v>3.1416000000000006E-2</v>
      </c>
      <c r="I27" s="87">
        <f t="shared" si="0"/>
        <v>6.2832000000000013E-2</v>
      </c>
      <c r="J27" s="11">
        <f t="shared" si="19"/>
        <v>0.17671237679999999</v>
      </c>
      <c r="K27" s="87">
        <f t="shared" si="1"/>
        <v>0.35342475359999997</v>
      </c>
      <c r="L27" s="87">
        <f t="shared" si="2"/>
        <v>2</v>
      </c>
      <c r="M27" s="54"/>
    </row>
    <row r="28" spans="1:15" s="1" customFormat="1" x14ac:dyDescent="0.25">
      <c r="A28" s="8">
        <v>3</v>
      </c>
      <c r="B28" s="89">
        <v>10</v>
      </c>
      <c r="C28" s="10" t="s">
        <v>59</v>
      </c>
      <c r="D28" s="8" t="s">
        <v>65</v>
      </c>
      <c r="E28" s="8" t="s">
        <v>52</v>
      </c>
      <c r="F28" s="70">
        <v>20</v>
      </c>
      <c r="G28" s="68">
        <v>17</v>
      </c>
      <c r="H28" s="11">
        <f t="shared" si="14"/>
        <v>3.1416000000000006E-2</v>
      </c>
      <c r="I28" s="87">
        <f t="shared" si="0"/>
        <v>6.2832000000000013E-2</v>
      </c>
      <c r="J28" s="11">
        <f t="shared" si="19"/>
        <v>0.1995965368</v>
      </c>
      <c r="K28" s="87">
        <f t="shared" si="1"/>
        <v>0.3991930736</v>
      </c>
      <c r="L28" s="87">
        <f t="shared" si="2"/>
        <v>2</v>
      </c>
      <c r="M28" s="54"/>
    </row>
    <row r="29" spans="1:15" x14ac:dyDescent="0.25">
      <c r="A29" s="8">
        <v>3</v>
      </c>
      <c r="B29" s="8">
        <v>11</v>
      </c>
      <c r="C29" s="10" t="s">
        <v>59</v>
      </c>
      <c r="D29" s="8" t="s">
        <v>65</v>
      </c>
      <c r="E29" s="8" t="s">
        <v>52</v>
      </c>
      <c r="F29" s="70">
        <v>26</v>
      </c>
      <c r="G29" s="68">
        <v>16</v>
      </c>
      <c r="H29" s="11">
        <f t="shared" si="14"/>
        <v>5.3093040000000008E-2</v>
      </c>
      <c r="I29" s="87">
        <f t="shared" si="0"/>
        <v>0.10618608000000002</v>
      </c>
      <c r="J29" s="11">
        <f t="shared" si="19"/>
        <v>0.31447501999999994</v>
      </c>
      <c r="K29" s="87">
        <f t="shared" si="1"/>
        <v>0.62895003999999988</v>
      </c>
      <c r="L29" s="87">
        <f t="shared" si="2"/>
        <v>2</v>
      </c>
      <c r="M29" s="54"/>
    </row>
    <row r="30" spans="1:15" x14ac:dyDescent="0.25">
      <c r="A30" s="8">
        <v>3</v>
      </c>
      <c r="B30" s="8">
        <v>12</v>
      </c>
      <c r="C30" s="10" t="s">
        <v>61</v>
      </c>
      <c r="D30" s="88" t="s">
        <v>64</v>
      </c>
      <c r="E30" s="8" t="s">
        <v>51</v>
      </c>
      <c r="F30" s="70">
        <v>17</v>
      </c>
      <c r="G30" s="68">
        <v>16</v>
      </c>
      <c r="H30" s="11">
        <f>0.7854*(F41/100)^2</f>
        <v>2.835294E-2</v>
      </c>
      <c r="I30" s="87">
        <f t="shared" ref="I30" si="20">H30*1/$O$3</f>
        <v>5.670588E-2</v>
      </c>
      <c r="J30" s="11">
        <f>(0.108337266+0.000046499*(F30^2*G30))</f>
        <v>0.32334864200000002</v>
      </c>
      <c r="K30" s="87">
        <f t="shared" ref="K30" si="21">J30/$O$3</f>
        <v>0.64669728400000004</v>
      </c>
      <c r="L30" s="87">
        <f t="shared" si="2"/>
        <v>2</v>
      </c>
      <c r="M30" s="72"/>
      <c r="N30" s="72"/>
      <c r="O30" s="54"/>
    </row>
    <row r="31" spans="1:15" x14ac:dyDescent="0.25">
      <c r="A31" s="8">
        <v>3</v>
      </c>
      <c r="B31" s="8">
        <v>13</v>
      </c>
      <c r="C31" s="10" t="s">
        <v>59</v>
      </c>
      <c r="D31" s="8" t="s">
        <v>65</v>
      </c>
      <c r="E31" s="8" t="s">
        <v>58</v>
      </c>
      <c r="F31" s="70">
        <v>33</v>
      </c>
      <c r="G31" s="68">
        <v>16</v>
      </c>
      <c r="H31" s="11">
        <f t="shared" si="14"/>
        <v>8.5530060000000005E-2</v>
      </c>
      <c r="I31" s="87">
        <f t="shared" si="0"/>
        <v>0.17106012000000001</v>
      </c>
      <c r="J31" s="11">
        <f t="shared" ref="J31:J32" si="22">(0.0050811768+0.0000286052*(F31^2*G31))</f>
        <v>0.50349818159999993</v>
      </c>
      <c r="K31" s="87">
        <f t="shared" si="1"/>
        <v>1.0069963631999999</v>
      </c>
      <c r="L31" s="87">
        <f t="shared" si="2"/>
        <v>2</v>
      </c>
      <c r="M31" s="72"/>
      <c r="N31" s="72"/>
      <c r="O31" s="54"/>
    </row>
    <row r="32" spans="1:15" x14ac:dyDescent="0.25">
      <c r="A32" s="8">
        <v>4</v>
      </c>
      <c r="B32" s="8">
        <v>1</v>
      </c>
      <c r="C32" s="10" t="s">
        <v>59</v>
      </c>
      <c r="D32" s="8" t="s">
        <v>65</v>
      </c>
      <c r="E32" s="8" t="s">
        <v>58</v>
      </c>
      <c r="F32" s="70">
        <v>32.700000000000003</v>
      </c>
      <c r="G32" s="68">
        <v>16</v>
      </c>
      <c r="H32" s="11">
        <f t="shared" si="14"/>
        <v>8.3982036600000004E-2</v>
      </c>
      <c r="I32" s="87">
        <f t="shared" si="0"/>
        <v>0.16796407320000001</v>
      </c>
      <c r="J32" s="11">
        <f t="shared" si="22"/>
        <v>0.49447724572800006</v>
      </c>
      <c r="K32" s="87">
        <f t="shared" si="1"/>
        <v>0.98895449145600012</v>
      </c>
      <c r="L32" s="87">
        <f t="shared" si="2"/>
        <v>2</v>
      </c>
      <c r="M32" s="73"/>
      <c r="N32" s="73"/>
      <c r="O32" s="54"/>
    </row>
    <row r="33" spans="1:15" x14ac:dyDescent="0.25">
      <c r="A33" s="8">
        <v>4</v>
      </c>
      <c r="B33" s="8">
        <v>2</v>
      </c>
      <c r="C33" s="10" t="s">
        <v>61</v>
      </c>
      <c r="D33" s="88" t="s">
        <v>64</v>
      </c>
      <c r="E33" s="8" t="s">
        <v>51</v>
      </c>
      <c r="F33" s="70">
        <v>14.5</v>
      </c>
      <c r="G33" s="69">
        <v>10</v>
      </c>
      <c r="H33" s="11">
        <f>0.7854*(F44/100)^2</f>
        <v>2.0106240000000001E-2</v>
      </c>
      <c r="I33" s="87">
        <f t="shared" ref="I33" si="23">H33*1/$O$3</f>
        <v>4.0212480000000002E-2</v>
      </c>
      <c r="J33" s="11">
        <f>(0.108337266+0.000046499*(F33^2*G33))</f>
        <v>0.2061014135</v>
      </c>
      <c r="K33" s="87">
        <f t="shared" ref="K33" si="24">J33/$O$3</f>
        <v>0.41220282699999999</v>
      </c>
      <c r="L33" s="87">
        <f t="shared" si="2"/>
        <v>2</v>
      </c>
      <c r="M33" s="73"/>
      <c r="N33" s="73"/>
      <c r="O33" s="54"/>
    </row>
    <row r="34" spans="1:15" x14ac:dyDescent="0.25">
      <c r="A34" s="8">
        <v>4</v>
      </c>
      <c r="B34" s="8">
        <v>3</v>
      </c>
      <c r="C34" s="10" t="s">
        <v>59</v>
      </c>
      <c r="D34" s="8" t="s">
        <v>65</v>
      </c>
      <c r="E34" s="8" t="s">
        <v>58</v>
      </c>
      <c r="F34" s="70">
        <v>33.200000000000003</v>
      </c>
      <c r="G34" s="69">
        <v>17</v>
      </c>
      <c r="H34" s="11">
        <f t="shared" si="14"/>
        <v>8.6569929600000012E-2</v>
      </c>
      <c r="I34" s="87">
        <f t="shared" si="0"/>
        <v>0.17313985920000002</v>
      </c>
      <c r="J34" s="11">
        <f>(0.0050811768+0.0000286052*(F34^2*G34))</f>
        <v>0.54108770281600005</v>
      </c>
      <c r="K34" s="87">
        <f t="shared" si="1"/>
        <v>1.0821754056320001</v>
      </c>
      <c r="L34" s="87">
        <f t="shared" si="2"/>
        <v>2</v>
      </c>
      <c r="M34" s="73"/>
      <c r="N34" s="73"/>
      <c r="O34" s="54"/>
    </row>
    <row r="35" spans="1:15" x14ac:dyDescent="0.25">
      <c r="A35" s="8">
        <v>4</v>
      </c>
      <c r="B35" s="8">
        <v>4</v>
      </c>
      <c r="C35" s="10" t="s">
        <v>61</v>
      </c>
      <c r="D35" s="88" t="s">
        <v>64</v>
      </c>
      <c r="E35" s="8" t="s">
        <v>51</v>
      </c>
      <c r="F35" s="70">
        <v>15</v>
      </c>
      <c r="G35" s="69">
        <v>14</v>
      </c>
      <c r="H35" s="11">
        <f>0.7854*(F46/100)^2</f>
        <v>8.0424960000000004E-2</v>
      </c>
      <c r="I35" s="87">
        <f t="shared" ref="I35" si="25">H35*1/$O$3</f>
        <v>0.16084992000000001</v>
      </c>
      <c r="J35" s="11">
        <f>(0.108337266+0.000046499*(F35^2*G35))</f>
        <v>0.254809116</v>
      </c>
      <c r="K35" s="87">
        <f t="shared" ref="K35" si="26">J35/$O$3</f>
        <v>0.509618232</v>
      </c>
      <c r="L35" s="87">
        <f t="shared" si="2"/>
        <v>2</v>
      </c>
      <c r="M35" s="72"/>
      <c r="N35" s="74"/>
      <c r="O35" s="54"/>
    </row>
    <row r="36" spans="1:15" x14ac:dyDescent="0.25">
      <c r="A36" s="8">
        <v>4</v>
      </c>
      <c r="B36" s="8">
        <v>5</v>
      </c>
      <c r="C36" s="10" t="s">
        <v>59</v>
      </c>
      <c r="D36" s="8" t="s">
        <v>65</v>
      </c>
      <c r="E36" s="8" t="s">
        <v>58</v>
      </c>
      <c r="F36" s="70">
        <v>30.3</v>
      </c>
      <c r="G36" s="69">
        <v>13.5</v>
      </c>
      <c r="H36" s="11">
        <f t="shared" si="14"/>
        <v>7.2106788599999999E-2</v>
      </c>
      <c r="I36" s="87">
        <f t="shared" si="0"/>
        <v>0.1442135772</v>
      </c>
      <c r="J36" s="11">
        <f t="shared" ref="J36:J40" si="27">(0.0050811768+0.0000286052*(F36^2*G36))</f>
        <v>0.35962017571799998</v>
      </c>
      <c r="K36" s="87">
        <f t="shared" si="1"/>
        <v>0.71924035143599996</v>
      </c>
      <c r="L36" s="87">
        <f t="shared" si="2"/>
        <v>2</v>
      </c>
      <c r="M36" s="73"/>
      <c r="N36" s="73"/>
      <c r="O36" s="54"/>
    </row>
    <row r="37" spans="1:15" x14ac:dyDescent="0.25">
      <c r="A37" s="8">
        <v>4</v>
      </c>
      <c r="B37" s="8">
        <v>6</v>
      </c>
      <c r="C37" s="10" t="s">
        <v>59</v>
      </c>
      <c r="D37" s="8" t="s">
        <v>65</v>
      </c>
      <c r="E37" s="8" t="s">
        <v>58</v>
      </c>
      <c r="F37" s="70">
        <v>34.5</v>
      </c>
      <c r="G37" s="69">
        <v>17</v>
      </c>
      <c r="H37" s="11">
        <f t="shared" si="14"/>
        <v>9.3482234999999983E-2</v>
      </c>
      <c r="I37" s="87">
        <f t="shared" si="0"/>
        <v>0.18696446999999997</v>
      </c>
      <c r="J37" s="11">
        <f t="shared" si="27"/>
        <v>0.5838859448999999</v>
      </c>
      <c r="K37" s="87">
        <f t="shared" si="1"/>
        <v>1.1677718897999998</v>
      </c>
      <c r="L37" s="87">
        <f t="shared" si="2"/>
        <v>2</v>
      </c>
      <c r="M37" s="73"/>
      <c r="N37" s="73"/>
      <c r="O37" s="54"/>
    </row>
    <row r="38" spans="1:15" x14ac:dyDescent="0.25">
      <c r="A38" s="8">
        <v>4</v>
      </c>
      <c r="B38" s="8">
        <v>7</v>
      </c>
      <c r="C38" s="10" t="s">
        <v>59</v>
      </c>
      <c r="D38" s="8" t="s">
        <v>65</v>
      </c>
      <c r="E38" s="8" t="s">
        <v>58</v>
      </c>
      <c r="F38" s="70">
        <v>35</v>
      </c>
      <c r="G38" s="69">
        <v>18</v>
      </c>
      <c r="H38" s="11">
        <f t="shared" si="14"/>
        <v>9.6211499999999991E-2</v>
      </c>
      <c r="I38" s="87">
        <f t="shared" si="0"/>
        <v>0.19242299999999998</v>
      </c>
      <c r="J38" s="11">
        <f t="shared" si="27"/>
        <v>0.63582583679999993</v>
      </c>
      <c r="K38" s="87">
        <f t="shared" si="1"/>
        <v>1.2716516735999999</v>
      </c>
      <c r="L38" s="87">
        <f t="shared" si="2"/>
        <v>2</v>
      </c>
      <c r="M38" s="54"/>
      <c r="N38" s="54"/>
      <c r="O38" s="54"/>
    </row>
    <row r="39" spans="1:15" x14ac:dyDescent="0.25">
      <c r="A39" s="8">
        <v>4</v>
      </c>
      <c r="B39" s="8">
        <v>8</v>
      </c>
      <c r="C39" s="10" t="s">
        <v>59</v>
      </c>
      <c r="D39" s="8" t="s">
        <v>65</v>
      </c>
      <c r="E39" s="8" t="s">
        <v>52</v>
      </c>
      <c r="F39" s="70">
        <v>29</v>
      </c>
      <c r="G39" s="69">
        <v>16</v>
      </c>
      <c r="H39" s="11">
        <f t="shared" si="14"/>
        <v>6.6052139999999995E-2</v>
      </c>
      <c r="I39" s="87">
        <f t="shared" si="0"/>
        <v>0.13210427999999999</v>
      </c>
      <c r="J39" s="11">
        <f t="shared" si="27"/>
        <v>0.38999274799999994</v>
      </c>
      <c r="K39" s="87">
        <f t="shared" si="1"/>
        <v>0.77998549599999989</v>
      </c>
      <c r="L39" s="87">
        <f t="shared" si="2"/>
        <v>2</v>
      </c>
      <c r="M39" s="54"/>
      <c r="N39" s="54"/>
      <c r="O39" s="54"/>
    </row>
    <row r="40" spans="1:15" s="1" customFormat="1" x14ac:dyDescent="0.25">
      <c r="A40" s="8">
        <v>4</v>
      </c>
      <c r="B40" s="8">
        <v>9</v>
      </c>
      <c r="C40" s="10" t="s">
        <v>59</v>
      </c>
      <c r="D40" s="8" t="s">
        <v>65</v>
      </c>
      <c r="E40" s="8" t="s">
        <v>58</v>
      </c>
      <c r="F40" s="70">
        <v>31.4</v>
      </c>
      <c r="G40" s="69">
        <v>15</v>
      </c>
      <c r="H40" s="11">
        <f t="shared" si="14"/>
        <v>7.7437298400000007E-2</v>
      </c>
      <c r="I40" s="87">
        <f t="shared" si="0"/>
        <v>0.15487459680000001</v>
      </c>
      <c r="J40" s="11">
        <f t="shared" si="27"/>
        <v>0.42813492167999995</v>
      </c>
      <c r="K40" s="87">
        <f t="shared" si="1"/>
        <v>0.85626984335999989</v>
      </c>
      <c r="L40" s="87">
        <f t="shared" si="2"/>
        <v>2</v>
      </c>
      <c r="M40" s="54"/>
      <c r="N40" s="54"/>
      <c r="O40" s="54"/>
    </row>
    <row r="41" spans="1:15" x14ac:dyDescent="0.25">
      <c r="A41" s="8">
        <v>5</v>
      </c>
      <c r="B41" s="8">
        <v>1</v>
      </c>
      <c r="C41" s="10" t="s">
        <v>61</v>
      </c>
      <c r="D41" s="88" t="s">
        <v>64</v>
      </c>
      <c r="E41" s="8" t="s">
        <v>51</v>
      </c>
      <c r="F41" s="70">
        <v>19</v>
      </c>
      <c r="G41" s="68">
        <v>15</v>
      </c>
      <c r="H41" s="11">
        <f t="shared" ref="H41:H42" si="28">0.7854*(F52/100)^2</f>
        <v>0.10178783999999999</v>
      </c>
      <c r="I41" s="87">
        <f t="shared" ref="I41:I42" si="29">H41*1/$O$3</f>
        <v>0.20357567999999998</v>
      </c>
      <c r="J41" s="11">
        <f t="shared" ref="J41:J42" si="30">(0.108337266+0.000046499*(F41^2*G41))</f>
        <v>0.36012935099999999</v>
      </c>
      <c r="K41" s="87">
        <f t="shared" ref="K41:K42" si="31">J41/$O$3</f>
        <v>0.72025870199999997</v>
      </c>
      <c r="L41" s="87">
        <f t="shared" si="2"/>
        <v>2</v>
      </c>
      <c r="M41" s="54"/>
      <c r="N41" s="54"/>
      <c r="O41" s="54"/>
    </row>
    <row r="42" spans="1:15" x14ac:dyDescent="0.25">
      <c r="A42" s="8">
        <v>5</v>
      </c>
      <c r="B42" s="8">
        <v>2</v>
      </c>
      <c r="C42" s="10" t="s">
        <v>61</v>
      </c>
      <c r="D42" s="88" t="s">
        <v>64</v>
      </c>
      <c r="E42" s="8" t="s">
        <v>51</v>
      </c>
      <c r="F42" s="70">
        <v>16</v>
      </c>
      <c r="G42" s="68">
        <v>15</v>
      </c>
      <c r="H42" s="11">
        <f t="shared" si="28"/>
        <v>2.2698060000000003E-2</v>
      </c>
      <c r="I42" s="87">
        <f t="shared" si="29"/>
        <v>4.5396120000000005E-2</v>
      </c>
      <c r="J42" s="11">
        <f t="shared" si="30"/>
        <v>0.28689342600000001</v>
      </c>
      <c r="K42" s="87">
        <f t="shared" si="31"/>
        <v>0.57378685200000001</v>
      </c>
      <c r="L42" s="87">
        <f t="shared" si="2"/>
        <v>2</v>
      </c>
      <c r="M42" s="54"/>
      <c r="N42" s="54"/>
      <c r="O42" s="54"/>
    </row>
    <row r="43" spans="1:15" x14ac:dyDescent="0.25">
      <c r="A43" s="8">
        <v>5</v>
      </c>
      <c r="B43" s="8">
        <v>3</v>
      </c>
      <c r="C43" s="10" t="s">
        <v>59</v>
      </c>
      <c r="D43" s="8" t="s">
        <v>65</v>
      </c>
      <c r="E43" s="8" t="s">
        <v>58</v>
      </c>
      <c r="F43" s="70">
        <v>38</v>
      </c>
      <c r="G43" s="68">
        <v>18</v>
      </c>
      <c r="H43" s="11">
        <f t="shared" si="14"/>
        <v>0.11341176</v>
      </c>
      <c r="I43" s="87">
        <f t="shared" si="0"/>
        <v>0.22682352</v>
      </c>
      <c r="J43" s="11">
        <f t="shared" ref="J43:J44" si="32">(0.0050811768+0.0000286052*(F43^2*G43))</f>
        <v>0.74858753519999999</v>
      </c>
      <c r="K43" s="87">
        <f t="shared" si="1"/>
        <v>1.4971750704</v>
      </c>
      <c r="L43" s="87">
        <f t="shared" si="2"/>
        <v>2</v>
      </c>
      <c r="M43" s="54"/>
      <c r="N43" s="54"/>
      <c r="O43" s="54"/>
    </row>
    <row r="44" spans="1:15" x14ac:dyDescent="0.25">
      <c r="A44" s="8">
        <v>5</v>
      </c>
      <c r="B44" s="8">
        <v>4</v>
      </c>
      <c r="C44" s="10" t="s">
        <v>59</v>
      </c>
      <c r="D44" s="8" t="s">
        <v>65</v>
      </c>
      <c r="E44" s="8" t="s">
        <v>51</v>
      </c>
      <c r="F44" s="70">
        <v>16</v>
      </c>
      <c r="G44" s="68">
        <v>14</v>
      </c>
      <c r="H44" s="11">
        <f t="shared" si="14"/>
        <v>2.0106240000000001E-2</v>
      </c>
      <c r="I44" s="87">
        <f t="shared" si="0"/>
        <v>4.0212480000000002E-2</v>
      </c>
      <c r="J44" s="11">
        <f t="shared" si="32"/>
        <v>0.1076022136</v>
      </c>
      <c r="K44" s="87">
        <f t="shared" si="1"/>
        <v>0.21520442719999999</v>
      </c>
      <c r="L44" s="87">
        <f t="shared" si="2"/>
        <v>2</v>
      </c>
      <c r="M44" s="54"/>
      <c r="N44" s="54"/>
      <c r="O44" s="54"/>
    </row>
    <row r="45" spans="1:15" x14ac:dyDescent="0.25">
      <c r="A45" s="8">
        <v>5</v>
      </c>
      <c r="B45" s="8">
        <v>5</v>
      </c>
      <c r="C45" s="10" t="s">
        <v>56</v>
      </c>
      <c r="D45" s="8" t="s">
        <v>57</v>
      </c>
      <c r="E45" s="8" t="s">
        <v>51</v>
      </c>
      <c r="F45" s="70">
        <v>16</v>
      </c>
      <c r="G45" s="68">
        <v>16</v>
      </c>
      <c r="H45" s="11">
        <f t="shared" si="14"/>
        <v>2.0106240000000001E-2</v>
      </c>
      <c r="I45" s="87">
        <f t="shared" si="0"/>
        <v>4.0212480000000002E-2</v>
      </c>
      <c r="J45" s="11">
        <f t="shared" ref="J45:J46" si="33">(0.0134651922+0.0000289134*(F45^2*G45))</f>
        <v>0.1318944786</v>
      </c>
      <c r="K45" s="87">
        <f t="shared" si="1"/>
        <v>0.26378895720000001</v>
      </c>
      <c r="L45" s="87">
        <f t="shared" si="2"/>
        <v>2</v>
      </c>
      <c r="M45" s="54"/>
      <c r="N45" s="54"/>
      <c r="O45" s="54"/>
    </row>
    <row r="46" spans="1:15" x14ac:dyDescent="0.25">
      <c r="A46" s="8">
        <v>5</v>
      </c>
      <c r="B46" s="8">
        <v>6</v>
      </c>
      <c r="C46" s="10" t="s">
        <v>56</v>
      </c>
      <c r="D46" s="8" t="s">
        <v>57</v>
      </c>
      <c r="E46" s="8" t="s">
        <v>58</v>
      </c>
      <c r="F46" s="70">
        <v>32</v>
      </c>
      <c r="G46" s="68">
        <v>16</v>
      </c>
      <c r="H46" s="11">
        <f t="shared" si="14"/>
        <v>8.0424960000000004E-2</v>
      </c>
      <c r="I46" s="87">
        <f t="shared" si="0"/>
        <v>0.16084992000000001</v>
      </c>
      <c r="J46" s="11">
        <f t="shared" si="33"/>
        <v>0.48718233779999998</v>
      </c>
      <c r="K46" s="87">
        <f t="shared" si="1"/>
        <v>0.97436467559999995</v>
      </c>
      <c r="L46" s="87">
        <f t="shared" si="2"/>
        <v>2</v>
      </c>
      <c r="M46" s="54"/>
      <c r="N46" s="54"/>
      <c r="O46" s="54"/>
    </row>
    <row r="47" spans="1:15" x14ac:dyDescent="0.25">
      <c r="A47" s="8">
        <v>5</v>
      </c>
      <c r="B47" s="8">
        <v>7</v>
      </c>
      <c r="C47" s="10" t="s">
        <v>59</v>
      </c>
      <c r="D47" s="8" t="s">
        <v>65</v>
      </c>
      <c r="E47" s="8" t="s">
        <v>51</v>
      </c>
      <c r="F47" s="70">
        <v>16</v>
      </c>
      <c r="G47" s="68">
        <v>15</v>
      </c>
      <c r="H47" s="11">
        <f t="shared" si="14"/>
        <v>2.0106240000000001E-2</v>
      </c>
      <c r="I47" s="87">
        <f t="shared" si="0"/>
        <v>4.0212480000000002E-2</v>
      </c>
      <c r="J47" s="11">
        <f>(0.0050811768+0.0000286052*(F47^2*G47))</f>
        <v>0.1149251448</v>
      </c>
      <c r="K47" s="87">
        <f t="shared" si="1"/>
        <v>0.22985028960000001</v>
      </c>
      <c r="L47" s="87">
        <f t="shared" si="2"/>
        <v>2</v>
      </c>
      <c r="M47" s="54"/>
      <c r="N47" s="54"/>
      <c r="O47" s="54"/>
    </row>
    <row r="48" spans="1:15" x14ac:dyDescent="0.25">
      <c r="A48" s="8">
        <v>5</v>
      </c>
      <c r="B48" s="8">
        <v>8</v>
      </c>
      <c r="C48" s="10" t="s">
        <v>61</v>
      </c>
      <c r="D48" s="88" t="s">
        <v>64</v>
      </c>
      <c r="E48" s="8" t="s">
        <v>51</v>
      </c>
      <c r="F48" s="70">
        <v>15</v>
      </c>
      <c r="G48" s="68">
        <v>13</v>
      </c>
      <c r="H48" s="11">
        <f t="shared" ref="H48:H51" si="34">0.7854*(F59/100)^2</f>
        <v>2.835294E-2</v>
      </c>
      <c r="I48" s="87">
        <f t="shared" ref="I48:I51" si="35">H48*1/$O$3</f>
        <v>5.670588E-2</v>
      </c>
      <c r="J48" s="11">
        <f t="shared" ref="J48:J51" si="36">(0.108337266+0.000046499*(F48^2*G48))</f>
        <v>0.24434684100000004</v>
      </c>
      <c r="K48" s="87">
        <f t="shared" ref="K48:K51" si="37">J48/$O$3</f>
        <v>0.48869368200000007</v>
      </c>
      <c r="L48" s="87">
        <f t="shared" si="2"/>
        <v>2</v>
      </c>
      <c r="M48" s="54"/>
      <c r="N48" s="54"/>
      <c r="O48" s="54"/>
    </row>
    <row r="49" spans="1:15" s="1" customFormat="1" x14ac:dyDescent="0.25">
      <c r="A49" s="8">
        <v>5</v>
      </c>
      <c r="B49" s="8">
        <v>9</v>
      </c>
      <c r="C49" s="10" t="s">
        <v>61</v>
      </c>
      <c r="D49" s="88" t="s">
        <v>64</v>
      </c>
      <c r="E49" s="8" t="s">
        <v>51</v>
      </c>
      <c r="F49" s="70">
        <v>16</v>
      </c>
      <c r="G49" s="68">
        <v>12</v>
      </c>
      <c r="H49" s="11">
        <f t="shared" si="34"/>
        <v>2.2698060000000003E-2</v>
      </c>
      <c r="I49" s="87">
        <f t="shared" si="35"/>
        <v>4.5396120000000005E-2</v>
      </c>
      <c r="J49" s="11">
        <f t="shared" si="36"/>
        <v>0.25118219400000003</v>
      </c>
      <c r="K49" s="87">
        <f t="shared" si="37"/>
        <v>0.50236438800000005</v>
      </c>
      <c r="L49" s="87">
        <f t="shared" si="2"/>
        <v>2</v>
      </c>
      <c r="M49" s="54"/>
      <c r="N49" s="54"/>
      <c r="O49" s="54"/>
    </row>
    <row r="50" spans="1:15" s="1" customFormat="1" x14ac:dyDescent="0.25">
      <c r="A50" s="8">
        <v>5</v>
      </c>
      <c r="B50" s="8">
        <v>10</v>
      </c>
      <c r="C50" s="10" t="s">
        <v>61</v>
      </c>
      <c r="D50" s="88" t="s">
        <v>64</v>
      </c>
      <c r="E50" s="8" t="s">
        <v>51</v>
      </c>
      <c r="F50" s="70">
        <v>15</v>
      </c>
      <c r="G50" s="68">
        <v>14</v>
      </c>
      <c r="H50" s="11">
        <f t="shared" si="34"/>
        <v>1.3273260000000002E-2</v>
      </c>
      <c r="I50" s="87">
        <f t="shared" si="35"/>
        <v>2.6546520000000004E-2</v>
      </c>
      <c r="J50" s="11">
        <f t="shared" si="36"/>
        <v>0.254809116</v>
      </c>
      <c r="K50" s="87">
        <f t="shared" si="37"/>
        <v>0.509618232</v>
      </c>
      <c r="L50" s="87">
        <f t="shared" si="2"/>
        <v>2</v>
      </c>
      <c r="M50" s="54"/>
      <c r="N50" s="54"/>
      <c r="O50" s="54"/>
    </row>
    <row r="51" spans="1:15" s="1" customFormat="1" x14ac:dyDescent="0.25">
      <c r="A51" s="8">
        <v>5</v>
      </c>
      <c r="B51" s="8">
        <v>11</v>
      </c>
      <c r="C51" s="10" t="s">
        <v>61</v>
      </c>
      <c r="D51" s="88" t="s">
        <v>64</v>
      </c>
      <c r="E51" s="8" t="s">
        <v>51</v>
      </c>
      <c r="F51" s="70">
        <v>16</v>
      </c>
      <c r="G51" s="68">
        <v>15</v>
      </c>
      <c r="H51" s="11">
        <f t="shared" si="34"/>
        <v>0.16619064</v>
      </c>
      <c r="I51" s="87">
        <f t="shared" si="35"/>
        <v>0.33238128</v>
      </c>
      <c r="J51" s="11">
        <f t="shared" si="36"/>
        <v>0.28689342600000001</v>
      </c>
      <c r="K51" s="87">
        <f t="shared" si="37"/>
        <v>0.57378685200000001</v>
      </c>
      <c r="L51" s="87">
        <f t="shared" si="2"/>
        <v>2</v>
      </c>
      <c r="M51" s="54"/>
      <c r="N51" s="54"/>
      <c r="O51" s="54"/>
    </row>
    <row r="52" spans="1:15" x14ac:dyDescent="0.25">
      <c r="A52" s="8">
        <v>5</v>
      </c>
      <c r="B52" s="8">
        <v>12</v>
      </c>
      <c r="C52" s="10" t="s">
        <v>59</v>
      </c>
      <c r="D52" s="8" t="s">
        <v>65</v>
      </c>
      <c r="E52" s="8" t="s">
        <v>58</v>
      </c>
      <c r="F52" s="70">
        <v>36</v>
      </c>
      <c r="G52" s="68">
        <v>17</v>
      </c>
      <c r="H52" s="11">
        <f t="shared" si="14"/>
        <v>0.10178783999999999</v>
      </c>
      <c r="I52" s="87">
        <f t="shared" si="0"/>
        <v>0.20357567999999998</v>
      </c>
      <c r="J52" s="11">
        <f t="shared" ref="J52:J54" si="38">(0.0050811768+0.0000286052*(F52^2*G52))</f>
        <v>0.63531094319999992</v>
      </c>
      <c r="K52" s="87">
        <f t="shared" si="1"/>
        <v>1.2706218863999998</v>
      </c>
      <c r="L52" s="87">
        <f t="shared" si="2"/>
        <v>2</v>
      </c>
      <c r="M52" s="54"/>
      <c r="N52" s="54"/>
      <c r="O52" s="54"/>
    </row>
    <row r="53" spans="1:15" s="1" customFormat="1" x14ac:dyDescent="0.25">
      <c r="A53" s="8">
        <v>5</v>
      </c>
      <c r="B53" s="89">
        <v>13</v>
      </c>
      <c r="C53" s="10" t="s">
        <v>59</v>
      </c>
      <c r="D53" s="8" t="s">
        <v>65</v>
      </c>
      <c r="E53" s="8" t="s">
        <v>51</v>
      </c>
      <c r="F53" s="70">
        <v>17</v>
      </c>
      <c r="G53" s="68">
        <v>15</v>
      </c>
      <c r="H53" s="11">
        <f t="shared" si="14"/>
        <v>2.2698060000000003E-2</v>
      </c>
      <c r="I53" s="87">
        <f t="shared" si="0"/>
        <v>4.5396120000000005E-2</v>
      </c>
      <c r="J53" s="11">
        <f t="shared" si="38"/>
        <v>0.1290847188</v>
      </c>
      <c r="K53" s="87">
        <f t="shared" si="1"/>
        <v>0.2581694376</v>
      </c>
      <c r="L53" s="87">
        <f t="shared" si="2"/>
        <v>2</v>
      </c>
      <c r="M53" s="54"/>
      <c r="N53" s="54"/>
      <c r="O53" s="54"/>
    </row>
    <row r="54" spans="1:15" s="1" customFormat="1" x14ac:dyDescent="0.25">
      <c r="A54" s="8">
        <v>5</v>
      </c>
      <c r="B54" s="89">
        <v>14</v>
      </c>
      <c r="C54" s="10" t="s">
        <v>59</v>
      </c>
      <c r="D54" s="8" t="s">
        <v>65</v>
      </c>
      <c r="E54" s="8" t="s">
        <v>51</v>
      </c>
      <c r="F54" s="70">
        <v>15</v>
      </c>
      <c r="G54" s="68">
        <v>14</v>
      </c>
      <c r="H54" s="11">
        <f t="shared" si="14"/>
        <v>1.76715E-2</v>
      </c>
      <c r="I54" s="87">
        <f t="shared" si="0"/>
        <v>3.5342999999999999E-2</v>
      </c>
      <c r="J54" s="11">
        <f t="shared" si="38"/>
        <v>9.5187556800000003E-2</v>
      </c>
      <c r="K54" s="87">
        <f t="shared" si="1"/>
        <v>0.19037511360000001</v>
      </c>
      <c r="L54" s="87">
        <f t="shared" si="2"/>
        <v>2</v>
      </c>
      <c r="M54" s="54"/>
      <c r="N54" s="54"/>
      <c r="O54" s="54"/>
    </row>
    <row r="55" spans="1:15" x14ac:dyDescent="0.25">
      <c r="A55" s="8">
        <v>5</v>
      </c>
      <c r="B55" s="8">
        <v>15</v>
      </c>
      <c r="C55" s="10" t="s">
        <v>61</v>
      </c>
      <c r="D55" s="88" t="s">
        <v>64</v>
      </c>
      <c r="E55" s="8" t="s">
        <v>51</v>
      </c>
      <c r="F55" s="70">
        <v>19</v>
      </c>
      <c r="G55" s="68">
        <v>14</v>
      </c>
      <c r="H55" s="11">
        <f>0.7854*(F66/100)^2</f>
        <v>1.0386915E-2</v>
      </c>
      <c r="I55" s="87">
        <f t="shared" ref="I55" si="39">H55*1/$O$3</f>
        <v>2.077383E-2</v>
      </c>
      <c r="J55" s="11">
        <f>(0.108337266+0.000046499*(F55^2*G55))</f>
        <v>0.34334321200000001</v>
      </c>
      <c r="K55" s="87">
        <f t="shared" ref="K55" si="40">J55/$O$3</f>
        <v>0.68668642400000002</v>
      </c>
      <c r="L55" s="87">
        <f t="shared" si="2"/>
        <v>2</v>
      </c>
      <c r="M55" s="54"/>
      <c r="N55" s="54"/>
      <c r="O55" s="54"/>
    </row>
    <row r="56" spans="1:15" s="1" customFormat="1" x14ac:dyDescent="0.25">
      <c r="A56" s="89">
        <v>6</v>
      </c>
      <c r="B56" s="89">
        <v>1</v>
      </c>
      <c r="C56" s="10" t="s">
        <v>59</v>
      </c>
      <c r="D56" s="8" t="s">
        <v>65</v>
      </c>
      <c r="E56" s="8" t="s">
        <v>60</v>
      </c>
      <c r="F56" s="70">
        <v>48</v>
      </c>
      <c r="G56" s="68">
        <v>19</v>
      </c>
      <c r="H56" s="11">
        <f t="shared" si="14"/>
        <v>0.18095616</v>
      </c>
      <c r="I56" s="87">
        <f t="shared" si="0"/>
        <v>0.36191232000000001</v>
      </c>
      <c r="J56" s="11">
        <f t="shared" ref="J56:J57" si="41">(0.0050811768+0.0000286052*(F56^2*G56))</f>
        <v>1.257302412</v>
      </c>
      <c r="K56" s="87">
        <f t="shared" ref="K56:K75" si="42">J56/$O$3</f>
        <v>2.5146048240000001</v>
      </c>
      <c r="L56" s="87">
        <f t="shared" si="2"/>
        <v>2</v>
      </c>
      <c r="M56" s="54"/>
      <c r="N56" s="54"/>
      <c r="O56" s="54"/>
    </row>
    <row r="57" spans="1:15" s="1" customFormat="1" x14ac:dyDescent="0.25">
      <c r="A57" s="89">
        <v>6</v>
      </c>
      <c r="B57" s="89">
        <v>2</v>
      </c>
      <c r="C57" s="10" t="s">
        <v>59</v>
      </c>
      <c r="D57" s="8" t="s">
        <v>65</v>
      </c>
      <c r="E57" s="8" t="s">
        <v>51</v>
      </c>
      <c r="F57" s="70">
        <v>16</v>
      </c>
      <c r="G57" s="68">
        <v>12</v>
      </c>
      <c r="H57" s="11">
        <f t="shared" si="14"/>
        <v>2.0106240000000001E-2</v>
      </c>
      <c r="I57" s="87">
        <f t="shared" si="0"/>
        <v>4.0212480000000002E-2</v>
      </c>
      <c r="J57" s="11">
        <f t="shared" si="41"/>
        <v>9.2956351199999995E-2</v>
      </c>
      <c r="K57" s="87">
        <f t="shared" si="42"/>
        <v>0.18591270239999999</v>
      </c>
      <c r="L57" s="87">
        <f t="shared" si="2"/>
        <v>2</v>
      </c>
      <c r="M57" s="54"/>
      <c r="N57" s="54"/>
      <c r="O57" s="54"/>
    </row>
    <row r="58" spans="1:15" s="1" customFormat="1" x14ac:dyDescent="0.25">
      <c r="A58" s="89">
        <v>6</v>
      </c>
      <c r="B58" s="89">
        <v>3</v>
      </c>
      <c r="C58" s="10" t="s">
        <v>61</v>
      </c>
      <c r="D58" s="88" t="s">
        <v>64</v>
      </c>
      <c r="E58" s="8" t="s">
        <v>51</v>
      </c>
      <c r="F58" s="70">
        <v>14</v>
      </c>
      <c r="G58" s="68">
        <v>6</v>
      </c>
      <c r="H58" s="11">
        <f>0.7854*(F69/100)^2</f>
        <v>0.45364704</v>
      </c>
      <c r="I58" s="87">
        <f t="shared" ref="I58" si="43">H58*1/$O$3</f>
        <v>0.90729408</v>
      </c>
      <c r="J58" s="11">
        <f>(0.108337266+0.000046499*(F58^2*G58))</f>
        <v>0.16302009000000001</v>
      </c>
      <c r="K58" s="87">
        <f t="shared" si="42"/>
        <v>0.32604018000000001</v>
      </c>
      <c r="L58" s="87">
        <f t="shared" si="2"/>
        <v>2</v>
      </c>
      <c r="M58" s="54"/>
      <c r="N58" s="54"/>
      <c r="O58" s="54"/>
    </row>
    <row r="59" spans="1:15" s="1" customFormat="1" x14ac:dyDescent="0.25">
      <c r="A59" s="89">
        <v>6</v>
      </c>
      <c r="B59" s="89">
        <v>4</v>
      </c>
      <c r="C59" s="10" t="s">
        <v>59</v>
      </c>
      <c r="D59" s="8" t="s">
        <v>65</v>
      </c>
      <c r="E59" s="8" t="s">
        <v>51</v>
      </c>
      <c r="F59" s="70">
        <v>19</v>
      </c>
      <c r="G59" s="68">
        <v>7</v>
      </c>
      <c r="H59" s="11">
        <f t="shared" si="14"/>
        <v>2.835294E-2</v>
      </c>
      <c r="I59" s="87">
        <f t="shared" si="0"/>
        <v>5.670588E-2</v>
      </c>
      <c r="J59" s="11">
        <f>(0.0050811768+0.0000286052*(F59^2*G59))</f>
        <v>7.7366517199999998E-2</v>
      </c>
      <c r="K59" s="87">
        <f t="shared" si="42"/>
        <v>0.1547330344</v>
      </c>
      <c r="L59" s="87">
        <f t="shared" si="2"/>
        <v>2</v>
      </c>
      <c r="M59" s="54"/>
      <c r="N59" s="54"/>
      <c r="O59" s="54"/>
    </row>
    <row r="60" spans="1:15" s="1" customFormat="1" x14ac:dyDescent="0.25">
      <c r="A60" s="89">
        <v>6</v>
      </c>
      <c r="B60" s="89">
        <v>5</v>
      </c>
      <c r="C60" s="10" t="s">
        <v>61</v>
      </c>
      <c r="D60" s="88" t="s">
        <v>64</v>
      </c>
      <c r="E60" s="8" t="s">
        <v>51</v>
      </c>
      <c r="F60" s="70">
        <v>17</v>
      </c>
      <c r="G60" s="69">
        <v>6</v>
      </c>
      <c r="H60" s="11">
        <f t="shared" ref="H60:H61" si="44">0.7854*(F71/100)^2</f>
        <v>1.6513034999999999E-2</v>
      </c>
      <c r="I60" s="87">
        <f t="shared" ref="I60:I61" si="45">H60*1/$O$3</f>
        <v>3.3026069999999998E-2</v>
      </c>
      <c r="J60" s="11">
        <f t="shared" ref="J60:J61" si="46">(0.108337266+0.000046499*(F60^2*G60))</f>
        <v>0.18896653200000002</v>
      </c>
      <c r="K60" s="87">
        <f t="shared" si="42"/>
        <v>0.37793306400000004</v>
      </c>
      <c r="L60" s="87">
        <f t="shared" si="2"/>
        <v>2</v>
      </c>
      <c r="M60" s="54"/>
      <c r="N60" s="54"/>
      <c r="O60" s="54"/>
    </row>
    <row r="61" spans="1:15" s="1" customFormat="1" x14ac:dyDescent="0.25">
      <c r="A61" s="89">
        <v>6</v>
      </c>
      <c r="B61" s="89">
        <v>6</v>
      </c>
      <c r="C61" s="10" t="s">
        <v>61</v>
      </c>
      <c r="D61" s="88" t="s">
        <v>64</v>
      </c>
      <c r="E61" s="8" t="s">
        <v>51</v>
      </c>
      <c r="F61" s="70">
        <v>13</v>
      </c>
      <c r="G61" s="68">
        <v>6</v>
      </c>
      <c r="H61" s="11">
        <f t="shared" si="44"/>
        <v>2.2698060000000003E-2</v>
      </c>
      <c r="I61" s="87">
        <f t="shared" si="45"/>
        <v>4.5396120000000005E-2</v>
      </c>
      <c r="J61" s="11">
        <f t="shared" si="46"/>
        <v>0.15548725200000002</v>
      </c>
      <c r="K61" s="87">
        <f t="shared" si="42"/>
        <v>0.31097450400000004</v>
      </c>
      <c r="L61" s="87">
        <f t="shared" si="2"/>
        <v>2</v>
      </c>
      <c r="M61" s="54"/>
      <c r="N61" s="54"/>
      <c r="O61" s="54"/>
    </row>
    <row r="62" spans="1:15" s="1" customFormat="1" x14ac:dyDescent="0.25">
      <c r="A62" s="89">
        <v>6</v>
      </c>
      <c r="B62" s="89">
        <v>7</v>
      </c>
      <c r="C62" s="10" t="s">
        <v>59</v>
      </c>
      <c r="D62" s="8" t="s">
        <v>65</v>
      </c>
      <c r="E62" s="8" t="s">
        <v>60</v>
      </c>
      <c r="F62" s="70">
        <v>46</v>
      </c>
      <c r="G62" s="68">
        <v>16</v>
      </c>
      <c r="H62" s="11">
        <f t="shared" si="14"/>
        <v>0.16619064</v>
      </c>
      <c r="I62" s="87">
        <f t="shared" si="0"/>
        <v>0.33238128</v>
      </c>
      <c r="J62" s="11">
        <f>(0.0050811768+0.0000286052*(F62^2*G62))</f>
        <v>0.97353882799999991</v>
      </c>
      <c r="K62" s="87">
        <f t="shared" si="42"/>
        <v>1.9470776559999998</v>
      </c>
      <c r="L62" s="87">
        <f t="shared" si="2"/>
        <v>2</v>
      </c>
      <c r="M62" s="54"/>
      <c r="N62" s="54"/>
      <c r="O62" s="54"/>
    </row>
    <row r="63" spans="1:15" s="1" customFormat="1" x14ac:dyDescent="0.25">
      <c r="A63" s="89">
        <v>6</v>
      </c>
      <c r="B63" s="89">
        <v>8</v>
      </c>
      <c r="C63" s="10" t="s">
        <v>61</v>
      </c>
      <c r="D63" s="88" t="s">
        <v>64</v>
      </c>
      <c r="E63" s="8" t="s">
        <v>51</v>
      </c>
      <c r="F63" s="70">
        <v>18</v>
      </c>
      <c r="G63" s="68">
        <v>8</v>
      </c>
      <c r="H63" s="11">
        <f t="shared" ref="H63:H64" si="47">0.7854*(F74/100)^2</f>
        <v>1.0935909600000002E-2</v>
      </c>
      <c r="I63" s="87">
        <f t="shared" ref="I63:I64" si="48">H63*1/$O$3</f>
        <v>2.1871819200000003E-2</v>
      </c>
      <c r="J63" s="11">
        <f t="shared" ref="J63:J64" si="49">(0.108337266+0.000046499*(F63^2*G63))</f>
        <v>0.22886267400000002</v>
      </c>
      <c r="K63" s="87">
        <f t="shared" si="42"/>
        <v>0.45772534800000003</v>
      </c>
      <c r="L63" s="87">
        <f t="shared" si="2"/>
        <v>2</v>
      </c>
      <c r="M63" s="54"/>
      <c r="N63" s="54"/>
      <c r="O63" s="54"/>
    </row>
    <row r="64" spans="1:15" s="1" customFormat="1" x14ac:dyDescent="0.25">
      <c r="A64" s="89">
        <v>6</v>
      </c>
      <c r="B64" s="89">
        <v>9</v>
      </c>
      <c r="C64" s="10" t="s">
        <v>61</v>
      </c>
      <c r="D64" s="88" t="s">
        <v>64</v>
      </c>
      <c r="E64" s="8" t="s">
        <v>51</v>
      </c>
      <c r="F64" s="70">
        <v>10.5</v>
      </c>
      <c r="G64" s="68">
        <v>6</v>
      </c>
      <c r="H64" s="11">
        <f t="shared" si="47"/>
        <v>1.76715E-2</v>
      </c>
      <c r="I64" s="87">
        <f t="shared" si="48"/>
        <v>3.5342999999999999E-2</v>
      </c>
      <c r="J64" s="11">
        <f t="shared" si="49"/>
        <v>0.13909635450000002</v>
      </c>
      <c r="K64" s="87">
        <f t="shared" si="42"/>
        <v>0.27819270900000004</v>
      </c>
      <c r="L64" s="87">
        <f t="shared" si="2"/>
        <v>2</v>
      </c>
      <c r="M64" s="54"/>
      <c r="N64" s="54"/>
      <c r="O64" s="54"/>
    </row>
    <row r="65" spans="1:15" s="1" customFormat="1" x14ac:dyDescent="0.25">
      <c r="A65" s="89">
        <v>7</v>
      </c>
      <c r="B65" s="89">
        <v>1</v>
      </c>
      <c r="C65" s="10" t="s">
        <v>59</v>
      </c>
      <c r="D65" s="8" t="s">
        <v>65</v>
      </c>
      <c r="E65" s="8" t="s">
        <v>51</v>
      </c>
      <c r="F65" s="70">
        <v>14.8</v>
      </c>
      <c r="G65" s="68">
        <v>8</v>
      </c>
      <c r="H65" s="11">
        <f t="shared" si="14"/>
        <v>1.7203401600000005E-2</v>
      </c>
      <c r="I65" s="87">
        <f t="shared" si="0"/>
        <v>3.4406803200000009E-2</v>
      </c>
      <c r="J65" s="11">
        <f>(0.0050811768+0.0000286052*(F65^2*G65))</f>
        <v>5.5206640863999998E-2</v>
      </c>
      <c r="K65" s="87">
        <f t="shared" si="42"/>
        <v>0.110413281728</v>
      </c>
      <c r="L65" s="87">
        <f t="shared" si="2"/>
        <v>2</v>
      </c>
      <c r="M65" s="54"/>
      <c r="N65" s="54"/>
      <c r="O65" s="54"/>
    </row>
    <row r="66" spans="1:15" s="1" customFormat="1" x14ac:dyDescent="0.25">
      <c r="A66" s="89">
        <v>7</v>
      </c>
      <c r="B66" s="89">
        <v>2</v>
      </c>
      <c r="C66" s="10" t="s">
        <v>61</v>
      </c>
      <c r="D66" s="88" t="s">
        <v>64</v>
      </c>
      <c r="E66" s="8" t="s">
        <v>51</v>
      </c>
      <c r="F66" s="70">
        <v>11.5</v>
      </c>
      <c r="G66" s="68">
        <v>6</v>
      </c>
      <c r="H66" s="11">
        <f>0.7854*(F77/100)^2</f>
        <v>7.0685999999999999E-2</v>
      </c>
      <c r="I66" s="87">
        <f t="shared" ref="I66" si="50">H66*1/$O$3</f>
        <v>0.141372</v>
      </c>
      <c r="J66" s="11">
        <f>(0.108337266+0.000046499*(F66^2*G66))</f>
        <v>0.14523422250000001</v>
      </c>
      <c r="K66" s="87">
        <f t="shared" si="42"/>
        <v>0.29046844500000002</v>
      </c>
      <c r="L66" s="87">
        <f t="shared" si="2"/>
        <v>2</v>
      </c>
      <c r="M66" s="54"/>
      <c r="N66" s="54"/>
      <c r="O66" s="54"/>
    </row>
    <row r="67" spans="1:15" s="1" customFormat="1" x14ac:dyDescent="0.25">
      <c r="A67" s="89">
        <v>7</v>
      </c>
      <c r="B67" s="89">
        <v>3</v>
      </c>
      <c r="C67" s="10" t="s">
        <v>59</v>
      </c>
      <c r="D67" s="8" t="s">
        <v>65</v>
      </c>
      <c r="E67" s="8" t="s">
        <v>51</v>
      </c>
      <c r="F67" s="70">
        <v>10.9</v>
      </c>
      <c r="G67" s="68">
        <v>7</v>
      </c>
      <c r="H67" s="11">
        <f t="shared" si="14"/>
        <v>9.3313373999999987E-3</v>
      </c>
      <c r="I67" s="87">
        <f t="shared" si="0"/>
        <v>1.8662674799999997E-2</v>
      </c>
      <c r="J67" s="11">
        <f>(0.0050811768+0.0000286052*(F67^2*G67))</f>
        <v>2.8871263484000001E-2</v>
      </c>
      <c r="K67" s="87">
        <f t="shared" si="42"/>
        <v>5.7742526968000002E-2</v>
      </c>
      <c r="L67" s="87">
        <f t="shared" si="2"/>
        <v>2</v>
      </c>
      <c r="M67" s="54"/>
      <c r="N67" s="54"/>
      <c r="O67" s="54"/>
    </row>
    <row r="68" spans="1:15" s="1" customFormat="1" x14ac:dyDescent="0.25">
      <c r="A68" s="89">
        <v>7</v>
      </c>
      <c r="B68" s="89">
        <v>4</v>
      </c>
      <c r="C68" s="10" t="s">
        <v>61</v>
      </c>
      <c r="D68" s="88" t="s">
        <v>64</v>
      </c>
      <c r="E68" s="8" t="s">
        <v>51</v>
      </c>
      <c r="F68" s="70">
        <v>14</v>
      </c>
      <c r="G68" s="68">
        <v>6</v>
      </c>
      <c r="H68" s="11">
        <f>0.7854*(F79/100)^2</f>
        <v>0.13854455999999998</v>
      </c>
      <c r="I68" s="87">
        <f t="shared" ref="I68" si="51">H68*1/$O$3</f>
        <v>0.27708911999999997</v>
      </c>
      <c r="J68" s="11">
        <f>(0.108337266+0.000046499*(F68^2*G68))</f>
        <v>0.16302009000000001</v>
      </c>
      <c r="K68" s="87">
        <f t="shared" si="42"/>
        <v>0.32604018000000001</v>
      </c>
      <c r="L68" s="87">
        <f t="shared" si="2"/>
        <v>2</v>
      </c>
      <c r="M68" s="54"/>
      <c r="N68" s="54"/>
      <c r="O68" s="54"/>
    </row>
    <row r="69" spans="1:15" s="1" customFormat="1" x14ac:dyDescent="0.25">
      <c r="A69" s="89">
        <v>7</v>
      </c>
      <c r="B69" s="89">
        <v>5</v>
      </c>
      <c r="C69" s="10" t="s">
        <v>59</v>
      </c>
      <c r="D69" s="8" t="s">
        <v>65</v>
      </c>
      <c r="E69" s="8" t="s">
        <v>51</v>
      </c>
      <c r="F69" s="70">
        <v>76</v>
      </c>
      <c r="G69" s="68">
        <v>22</v>
      </c>
      <c r="H69" s="11">
        <f t="shared" si="14"/>
        <v>0.45364704</v>
      </c>
      <c r="I69" s="87">
        <f t="shared" si="0"/>
        <v>0.90729408</v>
      </c>
      <c r="J69" s="11">
        <f>(0.0050811768+0.0000286052*(F69^2*G69))</f>
        <v>3.6400011511999999</v>
      </c>
      <c r="K69" s="87">
        <f t="shared" si="42"/>
        <v>7.2800023023999998</v>
      </c>
      <c r="L69" s="87">
        <f t="shared" si="2"/>
        <v>2</v>
      </c>
      <c r="M69" s="54"/>
      <c r="N69" s="54"/>
      <c r="O69" s="54"/>
    </row>
    <row r="70" spans="1:15" s="1" customFormat="1" x14ac:dyDescent="0.25">
      <c r="A70" s="89">
        <v>7</v>
      </c>
      <c r="B70" s="89">
        <v>6</v>
      </c>
      <c r="C70" s="10" t="s">
        <v>61</v>
      </c>
      <c r="D70" s="88" t="s">
        <v>64</v>
      </c>
      <c r="E70" s="8" t="s">
        <v>51</v>
      </c>
      <c r="F70" s="70">
        <v>17</v>
      </c>
      <c r="G70" s="68">
        <v>10</v>
      </c>
      <c r="H70" s="11">
        <f t="shared" ref="H70:H75" si="52">0.7854*(F81/100)^2</f>
        <v>4.5239040000000001E-2</v>
      </c>
      <c r="I70" s="87">
        <f t="shared" ref="I70:I75" si="53">H70*1/$O$3</f>
        <v>9.0478080000000002E-2</v>
      </c>
      <c r="J70" s="11">
        <f t="shared" ref="J70:J75" si="54">(0.108337266+0.000046499*(F70^2*G70))</f>
        <v>0.24271937599999999</v>
      </c>
      <c r="K70" s="87">
        <f t="shared" si="42"/>
        <v>0.48543875199999997</v>
      </c>
      <c r="L70" s="87">
        <f t="shared" si="2"/>
        <v>2</v>
      </c>
      <c r="M70" s="54"/>
      <c r="N70" s="54"/>
      <c r="O70" s="54"/>
    </row>
    <row r="71" spans="1:15" s="1" customFormat="1" x14ac:dyDescent="0.25">
      <c r="A71" s="89">
        <v>7</v>
      </c>
      <c r="B71" s="89">
        <v>7</v>
      </c>
      <c r="C71" s="10" t="s">
        <v>61</v>
      </c>
      <c r="D71" s="88" t="s">
        <v>64</v>
      </c>
      <c r="E71" s="8" t="s">
        <v>51</v>
      </c>
      <c r="F71" s="70">
        <v>14.5</v>
      </c>
      <c r="G71" s="68">
        <v>6</v>
      </c>
      <c r="H71" s="11">
        <f t="shared" si="52"/>
        <v>0.14522046</v>
      </c>
      <c r="I71" s="87">
        <f t="shared" si="53"/>
        <v>0.29044091999999999</v>
      </c>
      <c r="J71" s="11">
        <f t="shared" si="54"/>
        <v>0.16699575450000001</v>
      </c>
      <c r="K71" s="87">
        <f t="shared" si="42"/>
        <v>0.33399150900000002</v>
      </c>
      <c r="L71" s="87">
        <f t="shared" si="2"/>
        <v>2</v>
      </c>
      <c r="M71" s="54"/>
      <c r="N71" s="54"/>
      <c r="O71" s="54"/>
    </row>
    <row r="72" spans="1:15" s="1" customFormat="1" x14ac:dyDescent="0.25">
      <c r="A72" s="89">
        <v>7</v>
      </c>
      <c r="B72" s="89">
        <v>8</v>
      </c>
      <c r="C72" s="10" t="s">
        <v>61</v>
      </c>
      <c r="D72" s="88" t="s">
        <v>64</v>
      </c>
      <c r="E72" s="8" t="s">
        <v>51</v>
      </c>
      <c r="F72" s="70">
        <v>17</v>
      </c>
      <c r="G72" s="68">
        <v>7</v>
      </c>
      <c r="H72" s="11">
        <f t="shared" si="52"/>
        <v>0.10178783999999999</v>
      </c>
      <c r="I72" s="87">
        <f t="shared" si="53"/>
        <v>0.20357567999999998</v>
      </c>
      <c r="J72" s="11">
        <f t="shared" si="54"/>
        <v>0.202404743</v>
      </c>
      <c r="K72" s="87">
        <f t="shared" si="42"/>
        <v>0.404809486</v>
      </c>
      <c r="L72" s="87">
        <f t="shared" si="2"/>
        <v>2</v>
      </c>
      <c r="M72" s="54"/>
      <c r="N72" s="54"/>
      <c r="O72" s="54"/>
    </row>
    <row r="73" spans="1:15" s="1" customFormat="1" x14ac:dyDescent="0.25">
      <c r="A73" s="89">
        <v>7</v>
      </c>
      <c r="B73" s="89">
        <v>9</v>
      </c>
      <c r="C73" s="10" t="s">
        <v>61</v>
      </c>
      <c r="D73" s="88" t="s">
        <v>64</v>
      </c>
      <c r="E73" s="8" t="s">
        <v>51</v>
      </c>
      <c r="F73" s="70">
        <v>12</v>
      </c>
      <c r="G73" s="68">
        <v>7</v>
      </c>
      <c r="H73" s="11">
        <f t="shared" si="52"/>
        <v>0.1092719166</v>
      </c>
      <c r="I73" s="87">
        <f t="shared" si="53"/>
        <v>0.21854383320000001</v>
      </c>
      <c r="J73" s="11">
        <f t="shared" si="54"/>
        <v>0.15520825799999999</v>
      </c>
      <c r="K73" s="87">
        <f t="shared" si="42"/>
        <v>0.31041651599999998</v>
      </c>
      <c r="L73" s="87">
        <f t="shared" si="2"/>
        <v>2</v>
      </c>
      <c r="M73" s="54"/>
      <c r="N73" s="54"/>
      <c r="O73" s="54"/>
    </row>
    <row r="74" spans="1:15" s="1" customFormat="1" x14ac:dyDescent="0.25">
      <c r="A74" s="89">
        <v>7</v>
      </c>
      <c r="B74" s="89">
        <v>10</v>
      </c>
      <c r="C74" s="10" t="s">
        <v>61</v>
      </c>
      <c r="D74" s="88" t="s">
        <v>64</v>
      </c>
      <c r="E74" s="8" t="s">
        <v>51</v>
      </c>
      <c r="F74" s="70">
        <v>11.8</v>
      </c>
      <c r="G74" s="69">
        <v>6</v>
      </c>
      <c r="H74" s="11">
        <f t="shared" si="52"/>
        <v>0.19635</v>
      </c>
      <c r="I74" s="87">
        <f t="shared" si="53"/>
        <v>0.39269999999999999</v>
      </c>
      <c r="J74" s="11">
        <f t="shared" si="54"/>
        <v>0.14718439056000002</v>
      </c>
      <c r="K74" s="87">
        <f t="shared" si="42"/>
        <v>0.29436878112000003</v>
      </c>
      <c r="L74" s="87">
        <f t="shared" si="2"/>
        <v>2</v>
      </c>
      <c r="M74" s="54"/>
      <c r="N74" s="54"/>
      <c r="O74" s="54"/>
    </row>
    <row r="75" spans="1:15" x14ac:dyDescent="0.25">
      <c r="A75" s="8">
        <v>8</v>
      </c>
      <c r="B75" s="8">
        <v>1</v>
      </c>
      <c r="C75" s="10" t="s">
        <v>61</v>
      </c>
      <c r="D75" s="88" t="s">
        <v>64</v>
      </c>
      <c r="E75" s="8" t="s">
        <v>51</v>
      </c>
      <c r="F75" s="70">
        <v>15</v>
      </c>
      <c r="G75" s="69">
        <v>12</v>
      </c>
      <c r="H75" s="11">
        <f t="shared" si="52"/>
        <v>0.11945934000000001</v>
      </c>
      <c r="I75" s="87">
        <f t="shared" si="53"/>
        <v>0.23891868000000002</v>
      </c>
      <c r="J75" s="11">
        <f t="shared" si="54"/>
        <v>0.23388456600000002</v>
      </c>
      <c r="K75" s="87">
        <f t="shared" si="42"/>
        <v>0.46776913200000003</v>
      </c>
      <c r="L75" s="87">
        <f t="shared" si="2"/>
        <v>2</v>
      </c>
      <c r="M75" s="54"/>
      <c r="N75" s="54"/>
      <c r="O75" s="54"/>
    </row>
    <row r="76" spans="1:15" x14ac:dyDescent="0.25">
      <c r="A76" s="8">
        <v>8</v>
      </c>
      <c r="B76" s="8">
        <v>2</v>
      </c>
      <c r="C76" s="10" t="s">
        <v>59</v>
      </c>
      <c r="D76" s="8" t="s">
        <v>65</v>
      </c>
      <c r="E76" s="8" t="s">
        <v>51</v>
      </c>
      <c r="F76" s="70">
        <v>16</v>
      </c>
      <c r="G76" s="68">
        <v>14</v>
      </c>
      <c r="H76" s="11">
        <f t="shared" ref="H76:H90" si="55">0.7854*(F76/100)^2</f>
        <v>2.0106240000000001E-2</v>
      </c>
      <c r="I76" s="87">
        <f t="shared" ref="I76:I95" si="56">H76*1/$O$3</f>
        <v>4.0212480000000002E-2</v>
      </c>
      <c r="J76" s="11">
        <f>(0.0050811768+0.0000286052*(F76^2*G76))</f>
        <v>0.1076022136</v>
      </c>
      <c r="K76" s="87">
        <f t="shared" si="1"/>
        <v>0.21520442719999999</v>
      </c>
      <c r="L76" s="87">
        <f t="shared" ref="L76:L95" si="57">1*1/$O$3</f>
        <v>2</v>
      </c>
      <c r="M76" s="54"/>
      <c r="N76" s="54"/>
      <c r="O76" s="54"/>
    </row>
    <row r="77" spans="1:15" x14ac:dyDescent="0.25">
      <c r="A77" s="8">
        <v>8</v>
      </c>
      <c r="B77" s="8">
        <v>3</v>
      </c>
      <c r="C77" s="10" t="s">
        <v>61</v>
      </c>
      <c r="D77" s="88" t="s">
        <v>64</v>
      </c>
      <c r="E77" s="8" t="s">
        <v>58</v>
      </c>
      <c r="F77" s="70">
        <v>30</v>
      </c>
      <c r="G77" s="68">
        <v>17</v>
      </c>
      <c r="H77" s="11">
        <f t="shared" ref="H77:H81" si="58">0.7854*(F88/100)^2</f>
        <v>1.6971708599999996E-2</v>
      </c>
      <c r="I77" s="87">
        <f t="shared" si="56"/>
        <v>3.3943417199999992E-2</v>
      </c>
      <c r="J77" s="11">
        <f t="shared" ref="J77:J81" si="59">(0.108337266+0.000046499*(F77^2*G77))</f>
        <v>0.81977196600000013</v>
      </c>
      <c r="K77" s="87">
        <f t="shared" ref="K77:K81" si="60">J77/$O$3</f>
        <v>1.6395439320000003</v>
      </c>
      <c r="L77" s="87">
        <f t="shared" si="2"/>
        <v>2</v>
      </c>
      <c r="M77" s="54"/>
      <c r="N77" s="54"/>
      <c r="O77" s="54"/>
    </row>
    <row r="78" spans="1:15" x14ac:dyDescent="0.25">
      <c r="A78" s="8">
        <v>8</v>
      </c>
      <c r="B78" s="8">
        <v>4</v>
      </c>
      <c r="C78" s="10" t="s">
        <v>61</v>
      </c>
      <c r="D78" s="88" t="s">
        <v>64</v>
      </c>
      <c r="E78" s="8" t="s">
        <v>52</v>
      </c>
      <c r="F78" s="70">
        <v>26</v>
      </c>
      <c r="G78" s="69">
        <v>16</v>
      </c>
      <c r="H78" s="11">
        <f t="shared" si="58"/>
        <v>7.5476940000000006E-2</v>
      </c>
      <c r="I78" s="87">
        <f t="shared" si="56"/>
        <v>0.15095388000000001</v>
      </c>
      <c r="J78" s="11">
        <f t="shared" si="59"/>
        <v>0.61127045000000013</v>
      </c>
      <c r="K78" s="87">
        <f t="shared" si="60"/>
        <v>1.2225409000000003</v>
      </c>
      <c r="L78" s="87">
        <f t="shared" ref="L78:L81" si="61">1*1/$O$3</f>
        <v>2</v>
      </c>
      <c r="M78" s="54"/>
      <c r="N78" s="54"/>
      <c r="O78" s="54"/>
    </row>
    <row r="79" spans="1:15" x14ac:dyDescent="0.25">
      <c r="A79" s="8">
        <v>8</v>
      </c>
      <c r="B79" s="8">
        <v>5</v>
      </c>
      <c r="C79" s="10" t="s">
        <v>61</v>
      </c>
      <c r="D79" s="88" t="s">
        <v>64</v>
      </c>
      <c r="E79" s="8" t="s">
        <v>60</v>
      </c>
      <c r="F79" s="70">
        <v>42</v>
      </c>
      <c r="G79" s="68">
        <v>16</v>
      </c>
      <c r="H79" s="11">
        <f t="shared" si="58"/>
        <v>0.15343888560000002</v>
      </c>
      <c r="I79" s="87">
        <f t="shared" si="56"/>
        <v>0.30687777120000004</v>
      </c>
      <c r="J79" s="11">
        <f t="shared" si="59"/>
        <v>1.4207250419999999</v>
      </c>
      <c r="K79" s="87">
        <f t="shared" si="60"/>
        <v>2.8414500839999999</v>
      </c>
      <c r="L79" s="87">
        <f t="shared" si="61"/>
        <v>2</v>
      </c>
      <c r="M79" s="54"/>
      <c r="N79" s="54"/>
      <c r="O79" s="54"/>
    </row>
    <row r="80" spans="1:15" x14ac:dyDescent="0.25">
      <c r="A80" s="8">
        <v>8</v>
      </c>
      <c r="B80" s="8">
        <v>6</v>
      </c>
      <c r="C80" s="10" t="s">
        <v>61</v>
      </c>
      <c r="D80" s="88" t="s">
        <v>64</v>
      </c>
      <c r="E80" s="8" t="s">
        <v>58</v>
      </c>
      <c r="F80" s="70">
        <v>30</v>
      </c>
      <c r="G80" s="69">
        <v>15</v>
      </c>
      <c r="H80" s="11">
        <f t="shared" si="58"/>
        <v>4.9087499999999999E-2</v>
      </c>
      <c r="I80" s="87">
        <f t="shared" si="56"/>
        <v>9.8174999999999998E-2</v>
      </c>
      <c r="J80" s="11">
        <f t="shared" si="59"/>
        <v>0.73607376600000007</v>
      </c>
      <c r="K80" s="87">
        <f t="shared" si="60"/>
        <v>1.4721475320000001</v>
      </c>
      <c r="L80" s="87">
        <f t="shared" si="61"/>
        <v>2</v>
      </c>
      <c r="M80" s="54"/>
      <c r="N80" s="54"/>
      <c r="O80" s="54"/>
    </row>
    <row r="81" spans="1:15" x14ac:dyDescent="0.25">
      <c r="A81" s="8">
        <v>8</v>
      </c>
      <c r="B81" s="8">
        <v>7</v>
      </c>
      <c r="C81" s="10" t="s">
        <v>61</v>
      </c>
      <c r="D81" s="88" t="s">
        <v>64</v>
      </c>
      <c r="E81" s="8" t="s">
        <v>52</v>
      </c>
      <c r="F81" s="70">
        <v>24</v>
      </c>
      <c r="G81" s="68">
        <v>17</v>
      </c>
      <c r="H81" s="11">
        <f t="shared" si="58"/>
        <v>3.8013359999999996E-2</v>
      </c>
      <c r="I81" s="87">
        <f t="shared" si="56"/>
        <v>7.6026719999999992E-2</v>
      </c>
      <c r="J81" s="11">
        <f t="shared" si="59"/>
        <v>0.56365547400000005</v>
      </c>
      <c r="K81" s="87">
        <f t="shared" si="60"/>
        <v>1.1273109480000001</v>
      </c>
      <c r="L81" s="87">
        <f t="shared" si="61"/>
        <v>2</v>
      </c>
      <c r="M81" s="54"/>
      <c r="N81" s="54"/>
      <c r="O81" s="54"/>
    </row>
    <row r="82" spans="1:15" x14ac:dyDescent="0.25">
      <c r="A82" s="8">
        <v>9</v>
      </c>
      <c r="B82" s="8">
        <v>1</v>
      </c>
      <c r="C82" s="10" t="s">
        <v>56</v>
      </c>
      <c r="D82" s="8" t="s">
        <v>57</v>
      </c>
      <c r="E82" s="8" t="s">
        <v>60</v>
      </c>
      <c r="F82" s="70">
        <v>43</v>
      </c>
      <c r="G82" s="68">
        <v>23</v>
      </c>
      <c r="H82" s="11">
        <f t="shared" si="55"/>
        <v>0.14522046</v>
      </c>
      <c r="I82" s="87">
        <f t="shared" si="56"/>
        <v>0.29044091999999999</v>
      </c>
      <c r="J82" s="11">
        <f t="shared" ref="J82:J88" si="62">(0.0134651922+0.0000289134*(F82^2*G82))</f>
        <v>1.2430653540000001</v>
      </c>
      <c r="K82" s="87">
        <f t="shared" si="1"/>
        <v>2.4861307080000001</v>
      </c>
      <c r="L82" s="87">
        <f t="shared" si="57"/>
        <v>2</v>
      </c>
      <c r="M82" s="54"/>
      <c r="N82" s="54"/>
      <c r="O82" s="54"/>
    </row>
    <row r="83" spans="1:15" x14ac:dyDescent="0.25">
      <c r="A83" s="8">
        <v>9</v>
      </c>
      <c r="B83" s="8">
        <v>2</v>
      </c>
      <c r="C83" s="10" t="s">
        <v>56</v>
      </c>
      <c r="D83" s="8" t="s">
        <v>57</v>
      </c>
      <c r="E83" s="8" t="s">
        <v>58</v>
      </c>
      <c r="F83" s="70">
        <v>36</v>
      </c>
      <c r="G83" s="68">
        <v>19</v>
      </c>
      <c r="H83" s="11">
        <f t="shared" si="55"/>
        <v>0.10178783999999999</v>
      </c>
      <c r="I83" s="87">
        <f t="shared" si="56"/>
        <v>0.20357567999999998</v>
      </c>
      <c r="J83" s="11">
        <f t="shared" si="62"/>
        <v>0.72542875379999994</v>
      </c>
      <c r="K83" s="87">
        <f t="shared" si="1"/>
        <v>1.4508575075999999</v>
      </c>
      <c r="L83" s="87">
        <f t="shared" si="57"/>
        <v>2</v>
      </c>
      <c r="M83" s="54"/>
      <c r="N83" s="54"/>
      <c r="O83" s="54"/>
    </row>
    <row r="84" spans="1:15" x14ac:dyDescent="0.25">
      <c r="A84" s="8">
        <v>9</v>
      </c>
      <c r="B84" s="8">
        <v>3</v>
      </c>
      <c r="C84" s="10" t="s">
        <v>56</v>
      </c>
      <c r="D84" s="8" t="s">
        <v>57</v>
      </c>
      <c r="E84" s="8" t="s">
        <v>58</v>
      </c>
      <c r="F84" s="70">
        <v>37.299999999999997</v>
      </c>
      <c r="G84" s="68">
        <v>18</v>
      </c>
      <c r="H84" s="11">
        <f t="shared" si="55"/>
        <v>0.1092719166</v>
      </c>
      <c r="I84" s="87">
        <f t="shared" si="56"/>
        <v>0.21854383320000001</v>
      </c>
      <c r="J84" s="11">
        <f t="shared" si="62"/>
        <v>0.73754982934799984</v>
      </c>
      <c r="K84" s="87">
        <f t="shared" si="1"/>
        <v>1.4750996586959997</v>
      </c>
      <c r="L84" s="87">
        <f t="shared" si="57"/>
        <v>2</v>
      </c>
      <c r="M84" s="54"/>
      <c r="N84" s="54"/>
      <c r="O84" s="54"/>
    </row>
    <row r="85" spans="1:15" x14ac:dyDescent="0.25">
      <c r="A85" s="8">
        <v>9</v>
      </c>
      <c r="B85" s="8">
        <v>4</v>
      </c>
      <c r="C85" s="10" t="s">
        <v>56</v>
      </c>
      <c r="D85" s="8" t="s">
        <v>57</v>
      </c>
      <c r="E85" s="8" t="s">
        <v>62</v>
      </c>
      <c r="F85" s="70">
        <v>50</v>
      </c>
      <c r="G85" s="68">
        <v>20</v>
      </c>
      <c r="H85" s="11">
        <f t="shared" si="55"/>
        <v>0.19635</v>
      </c>
      <c r="I85" s="87">
        <f t="shared" si="56"/>
        <v>0.39269999999999999</v>
      </c>
      <c r="J85" s="11">
        <f t="shared" si="62"/>
        <v>1.4591351922</v>
      </c>
      <c r="K85" s="87">
        <f t="shared" ref="K85:K95" si="63">J85/$O$3</f>
        <v>2.9182703844</v>
      </c>
      <c r="L85" s="87">
        <f t="shared" si="57"/>
        <v>2</v>
      </c>
      <c r="M85" s="54"/>
      <c r="N85" s="54"/>
      <c r="O85" s="54"/>
    </row>
    <row r="86" spans="1:15" x14ac:dyDescent="0.25">
      <c r="A86" s="8">
        <v>9</v>
      </c>
      <c r="B86" s="8">
        <v>5</v>
      </c>
      <c r="C86" s="10" t="s">
        <v>56</v>
      </c>
      <c r="D86" s="8" t="s">
        <v>57</v>
      </c>
      <c r="E86" s="8" t="s">
        <v>58</v>
      </c>
      <c r="F86" s="70">
        <v>39</v>
      </c>
      <c r="G86" s="68">
        <v>20</v>
      </c>
      <c r="H86" s="11">
        <f t="shared" si="55"/>
        <v>0.11945934000000001</v>
      </c>
      <c r="I86" s="87">
        <f t="shared" si="56"/>
        <v>0.23891868000000002</v>
      </c>
      <c r="J86" s="11">
        <f t="shared" si="62"/>
        <v>0.8930108202</v>
      </c>
      <c r="K86" s="87">
        <f t="shared" si="63"/>
        <v>1.7860216404</v>
      </c>
      <c r="L86" s="87">
        <f t="shared" si="57"/>
        <v>2</v>
      </c>
    </row>
    <row r="87" spans="1:15" x14ac:dyDescent="0.25">
      <c r="A87" s="8">
        <v>9</v>
      </c>
      <c r="B87" s="8">
        <v>6</v>
      </c>
      <c r="C87" s="10" t="s">
        <v>56</v>
      </c>
      <c r="D87" s="8" t="s">
        <v>57</v>
      </c>
      <c r="E87" s="8" t="s">
        <v>51</v>
      </c>
      <c r="F87" s="70">
        <v>16</v>
      </c>
      <c r="G87" s="68">
        <v>12</v>
      </c>
      <c r="H87" s="11">
        <f t="shared" si="55"/>
        <v>2.0106240000000001E-2</v>
      </c>
      <c r="I87" s="87">
        <f t="shared" si="56"/>
        <v>4.0212480000000002E-2</v>
      </c>
      <c r="J87" s="11">
        <f t="shared" si="62"/>
        <v>0.102287157</v>
      </c>
      <c r="K87" s="87">
        <f t="shared" si="63"/>
        <v>0.20457431400000001</v>
      </c>
      <c r="L87" s="87">
        <f t="shared" si="57"/>
        <v>2</v>
      </c>
    </row>
    <row r="88" spans="1:15" x14ac:dyDescent="0.25">
      <c r="A88" s="89">
        <v>10</v>
      </c>
      <c r="B88" s="8">
        <v>1</v>
      </c>
      <c r="C88" s="10" t="s">
        <v>56</v>
      </c>
      <c r="D88" s="8" t="s">
        <v>57</v>
      </c>
      <c r="E88" s="8" t="s">
        <v>51</v>
      </c>
      <c r="F88" s="70">
        <v>14.7</v>
      </c>
      <c r="G88" s="68">
        <v>14</v>
      </c>
      <c r="H88" s="11">
        <f t="shared" si="55"/>
        <v>1.6971708599999996E-2</v>
      </c>
      <c r="I88" s="87">
        <f t="shared" si="56"/>
        <v>3.3943417199999992E-2</v>
      </c>
      <c r="J88" s="11">
        <f t="shared" si="62"/>
        <v>0.100935744684</v>
      </c>
      <c r="K88" s="87">
        <f t="shared" si="63"/>
        <v>0.20187148936800001</v>
      </c>
      <c r="L88" s="87">
        <f t="shared" si="57"/>
        <v>2</v>
      </c>
    </row>
    <row r="89" spans="1:15" x14ac:dyDescent="0.25">
      <c r="A89" s="89">
        <v>10</v>
      </c>
      <c r="B89" s="8">
        <v>2</v>
      </c>
      <c r="C89" s="10" t="s">
        <v>61</v>
      </c>
      <c r="D89" s="88" t="s">
        <v>64</v>
      </c>
      <c r="E89" s="8" t="s">
        <v>58</v>
      </c>
      <c r="F89" s="70">
        <v>31</v>
      </c>
      <c r="G89" s="68">
        <v>19</v>
      </c>
      <c r="H89" s="11">
        <f>0.7854*(F100/100)^2</f>
        <v>0</v>
      </c>
      <c r="I89" s="87">
        <f t="shared" si="56"/>
        <v>0</v>
      </c>
      <c r="J89" s="11">
        <f>(0.108337266+0.000046499*(F89^2*G89))</f>
        <v>0.95736250700000014</v>
      </c>
      <c r="K89" s="87">
        <f t="shared" si="63"/>
        <v>1.9147250140000003</v>
      </c>
      <c r="L89" s="87">
        <f t="shared" si="57"/>
        <v>2</v>
      </c>
    </row>
    <row r="90" spans="1:15" x14ac:dyDescent="0.25">
      <c r="A90" s="89">
        <v>10</v>
      </c>
      <c r="B90" s="8">
        <v>3</v>
      </c>
      <c r="C90" s="10" t="s">
        <v>56</v>
      </c>
      <c r="D90" s="8" t="s">
        <v>57</v>
      </c>
      <c r="E90" s="8" t="s">
        <v>60</v>
      </c>
      <c r="F90" s="70">
        <v>44.2</v>
      </c>
      <c r="G90" s="68">
        <v>22</v>
      </c>
      <c r="H90" s="11">
        <f t="shared" si="55"/>
        <v>0.15343888560000002</v>
      </c>
      <c r="I90" s="87">
        <f t="shared" si="56"/>
        <v>0.30687777120000004</v>
      </c>
      <c r="J90" s="11">
        <f>(0.0134651922+0.0000289134*(F90^2*G90))</f>
        <v>1.2561654372720001</v>
      </c>
      <c r="K90" s="87">
        <f t="shared" si="63"/>
        <v>2.5123308745440003</v>
      </c>
      <c r="L90" s="87">
        <f t="shared" si="57"/>
        <v>2</v>
      </c>
    </row>
    <row r="91" spans="1:15" x14ac:dyDescent="0.25">
      <c r="A91" s="89">
        <v>10</v>
      </c>
      <c r="B91" s="8">
        <v>4</v>
      </c>
      <c r="C91" s="10" t="s">
        <v>61</v>
      </c>
      <c r="D91" s="88" t="s">
        <v>64</v>
      </c>
      <c r="E91" s="8" t="s">
        <v>52</v>
      </c>
      <c r="F91" s="70">
        <v>25</v>
      </c>
      <c r="G91" s="68">
        <v>15</v>
      </c>
      <c r="H91" s="11">
        <f t="shared" ref="H91:H95" si="64">0.7854*(F102/100)^2</f>
        <v>0</v>
      </c>
      <c r="I91" s="87">
        <f t="shared" si="56"/>
        <v>0</v>
      </c>
      <c r="J91" s="11">
        <f t="shared" ref="J91:J95" si="65">(0.108337266+0.000046499*(F91^2*G91))</f>
        <v>0.54426539100000004</v>
      </c>
      <c r="K91" s="87">
        <f t="shared" si="63"/>
        <v>1.0885307820000001</v>
      </c>
      <c r="L91" s="87">
        <f t="shared" si="57"/>
        <v>2</v>
      </c>
    </row>
    <row r="92" spans="1:15" x14ac:dyDescent="0.25">
      <c r="A92" s="89">
        <v>10</v>
      </c>
      <c r="B92" s="8">
        <v>5</v>
      </c>
      <c r="C92" s="10" t="s">
        <v>61</v>
      </c>
      <c r="D92" s="88" t="s">
        <v>64</v>
      </c>
      <c r="E92" s="8" t="s">
        <v>52</v>
      </c>
      <c r="F92" s="70">
        <v>22</v>
      </c>
      <c r="G92" s="68">
        <v>16</v>
      </c>
      <c r="H92" s="11">
        <f t="shared" si="64"/>
        <v>0</v>
      </c>
      <c r="I92" s="87">
        <f t="shared" si="56"/>
        <v>0</v>
      </c>
      <c r="J92" s="11">
        <f t="shared" si="65"/>
        <v>0.46842552200000004</v>
      </c>
      <c r="K92" s="87">
        <f t="shared" si="63"/>
        <v>0.93685104400000008</v>
      </c>
      <c r="L92" s="87">
        <f t="shared" si="57"/>
        <v>2</v>
      </c>
    </row>
    <row r="93" spans="1:15" x14ac:dyDescent="0.25">
      <c r="A93" s="89">
        <v>10</v>
      </c>
      <c r="B93" s="8">
        <v>6</v>
      </c>
      <c r="C93" s="10" t="s">
        <v>61</v>
      </c>
      <c r="D93" s="88" t="s">
        <v>64</v>
      </c>
      <c r="E93" s="8" t="s">
        <v>51</v>
      </c>
      <c r="F93" s="70">
        <v>17.399999999999999</v>
      </c>
      <c r="G93" s="68">
        <v>14</v>
      </c>
      <c r="H93" s="11">
        <f t="shared" si="64"/>
        <v>0</v>
      </c>
      <c r="I93" s="87">
        <f t="shared" si="56"/>
        <v>0</v>
      </c>
      <c r="J93" s="11">
        <f t="shared" si="65"/>
        <v>0.30542978735999998</v>
      </c>
      <c r="K93" s="87">
        <f t="shared" si="63"/>
        <v>0.61085957471999996</v>
      </c>
      <c r="L93" s="87">
        <f t="shared" si="57"/>
        <v>2</v>
      </c>
    </row>
    <row r="94" spans="1:15" x14ac:dyDescent="0.25">
      <c r="A94" s="89">
        <v>10</v>
      </c>
      <c r="B94" s="8">
        <v>7</v>
      </c>
      <c r="C94" s="10" t="s">
        <v>61</v>
      </c>
      <c r="D94" s="88" t="s">
        <v>64</v>
      </c>
      <c r="E94" s="8" t="s">
        <v>51</v>
      </c>
      <c r="F94" s="70">
        <v>18</v>
      </c>
      <c r="G94" s="68">
        <v>10</v>
      </c>
      <c r="H94" s="11">
        <f t="shared" si="64"/>
        <v>0</v>
      </c>
      <c r="I94" s="87">
        <f t="shared" si="56"/>
        <v>0</v>
      </c>
      <c r="J94" s="11">
        <f t="shared" si="65"/>
        <v>0.25899402599999999</v>
      </c>
      <c r="K94" s="87">
        <f t="shared" si="63"/>
        <v>0.51798805199999998</v>
      </c>
      <c r="L94" s="87">
        <f t="shared" si="57"/>
        <v>2</v>
      </c>
    </row>
    <row r="95" spans="1:15" x14ac:dyDescent="0.25">
      <c r="A95" s="89">
        <v>10</v>
      </c>
      <c r="B95" s="8">
        <v>8</v>
      </c>
      <c r="C95" s="10" t="s">
        <v>61</v>
      </c>
      <c r="D95" s="88" t="s">
        <v>64</v>
      </c>
      <c r="E95" s="8" t="s">
        <v>58</v>
      </c>
      <c r="F95" s="70">
        <v>30</v>
      </c>
      <c r="G95" s="68">
        <v>16</v>
      </c>
      <c r="H95" s="11">
        <f t="shared" si="64"/>
        <v>0</v>
      </c>
      <c r="I95" s="87">
        <f t="shared" si="56"/>
        <v>0</v>
      </c>
      <c r="J95" s="11">
        <f t="shared" si="65"/>
        <v>0.77792286600000005</v>
      </c>
      <c r="K95" s="87">
        <f t="shared" si="63"/>
        <v>1.5558457320000001</v>
      </c>
      <c r="L95" s="87">
        <f t="shared" si="57"/>
        <v>2</v>
      </c>
    </row>
    <row r="96" spans="1:15" x14ac:dyDescent="0.25">
      <c r="A96" s="89">
        <v>10</v>
      </c>
      <c r="B96" s="8">
        <v>9</v>
      </c>
      <c r="C96" s="10" t="s">
        <v>59</v>
      </c>
      <c r="D96" s="8" t="s">
        <v>65</v>
      </c>
      <c r="E96" s="8" t="s">
        <v>58</v>
      </c>
      <c r="F96" s="70">
        <v>39.799999999999997</v>
      </c>
      <c r="G96" s="68">
        <v>20</v>
      </c>
      <c r="H96" s="11">
        <f t="shared" ref="H96" si="66">0.7854*(F96/100)^2</f>
        <v>0.12441050159999997</v>
      </c>
      <c r="I96" s="87">
        <f t="shared" ref="I96" si="67">H96*1/$O$3</f>
        <v>0.24882100319999995</v>
      </c>
      <c r="J96" s="11">
        <f>(0.0050811768+0.0000286052*(F96^2*G96))</f>
        <v>0.91131679695999979</v>
      </c>
      <c r="K96" s="87">
        <f t="shared" ref="K96" si="68">J96/$O$3</f>
        <v>1.8226335939199996</v>
      </c>
      <c r="L96" s="87">
        <f t="shared" ref="L96" si="69">1*1/$O$3</f>
        <v>2</v>
      </c>
    </row>
  </sheetData>
  <autoFilter ref="A1:L96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opLeftCell="A4" workbookViewId="0">
      <selection activeCell="F14" sqref="F14"/>
    </sheetView>
  </sheetViews>
  <sheetFormatPr baseColWidth="10" defaultColWidth="11.42578125" defaultRowHeight="15" x14ac:dyDescent="0.25"/>
  <cols>
    <col min="1" max="1" width="21.42578125" customWidth="1"/>
    <col min="2" max="2" width="19" bestFit="1" customWidth="1"/>
    <col min="3" max="3" width="13.85546875" customWidth="1"/>
    <col min="4" max="4" width="18.42578125" bestFit="1" customWidth="1"/>
    <col min="5" max="5" width="10.7109375" bestFit="1" customWidth="1"/>
    <col min="6" max="6" width="11.5703125" bestFit="1" customWidth="1"/>
    <col min="7" max="7" width="14" customWidth="1"/>
  </cols>
  <sheetData>
    <row r="3" spans="1:6" x14ac:dyDescent="0.25">
      <c r="A3" s="3" t="s">
        <v>63</v>
      </c>
      <c r="B3" t="s">
        <v>13</v>
      </c>
    </row>
    <row r="4" spans="1:6" x14ac:dyDescent="0.25">
      <c r="A4" s="4" t="s">
        <v>57</v>
      </c>
      <c r="B4" s="6">
        <v>12</v>
      </c>
    </row>
    <row r="5" spans="1:6" x14ac:dyDescent="0.25">
      <c r="A5" s="5" t="s">
        <v>56</v>
      </c>
      <c r="B5" s="6">
        <v>12</v>
      </c>
    </row>
    <row r="6" spans="1:6" x14ac:dyDescent="0.25">
      <c r="A6" s="4" t="s">
        <v>65</v>
      </c>
      <c r="B6" s="6">
        <v>35</v>
      </c>
    </row>
    <row r="7" spans="1:6" x14ac:dyDescent="0.25">
      <c r="A7" s="5" t="s">
        <v>59</v>
      </c>
      <c r="B7" s="6">
        <v>35</v>
      </c>
    </row>
    <row r="8" spans="1:6" x14ac:dyDescent="0.25">
      <c r="A8" s="4" t="s">
        <v>64</v>
      </c>
      <c r="B8" s="6">
        <v>48</v>
      </c>
    </row>
    <row r="9" spans="1:6" x14ac:dyDescent="0.25">
      <c r="A9" s="5" t="s">
        <v>61</v>
      </c>
      <c r="B9" s="6">
        <v>48</v>
      </c>
    </row>
    <row r="10" spans="1:6" x14ac:dyDescent="0.25">
      <c r="A10" s="4" t="s">
        <v>12</v>
      </c>
      <c r="B10" s="6">
        <v>95</v>
      </c>
    </row>
    <row r="13" spans="1:6" ht="45" x14ac:dyDescent="0.25">
      <c r="B13" s="18" t="s">
        <v>20</v>
      </c>
      <c r="C13" s="19" t="s">
        <v>21</v>
      </c>
      <c r="D13" s="19" t="s">
        <v>22</v>
      </c>
      <c r="E13" s="19" t="s">
        <v>23</v>
      </c>
      <c r="F13" s="20" t="s">
        <v>24</v>
      </c>
    </row>
    <row r="14" spans="1:6" s="1" customFormat="1" x14ac:dyDescent="0.25">
      <c r="B14" s="58">
        <v>1</v>
      </c>
      <c r="C14" s="60" t="str">
        <f>A5</f>
        <v>Ciprés</v>
      </c>
      <c r="D14" s="60" t="str">
        <f>A4</f>
        <v>Cupresus lusitanica</v>
      </c>
      <c r="E14" s="59">
        <f>GETPIVOTDATA("No. Arbol",$A$3,"Especie","Cupresus lusitanica")</f>
        <v>12</v>
      </c>
      <c r="F14" s="63">
        <f>E14/E17*100</f>
        <v>12.631578947368421</v>
      </c>
    </row>
    <row r="15" spans="1:6" s="1" customFormat="1" x14ac:dyDescent="0.25">
      <c r="B15" s="58">
        <v>2</v>
      </c>
      <c r="C15" s="60" t="str">
        <f>A7</f>
        <v>Pino triste</v>
      </c>
      <c r="D15" s="60" t="str">
        <f>A6</f>
        <v>Pinus pseudostrobus</v>
      </c>
      <c r="E15" s="59">
        <f>GETPIVOTDATA("No. Arbol",$A$3,"Especie","Pinus pseudostrobus")</f>
        <v>35</v>
      </c>
      <c r="F15" s="63">
        <f>E15/E17*100</f>
        <v>36.84210526315789</v>
      </c>
    </row>
    <row r="16" spans="1:6" x14ac:dyDescent="0.25">
      <c r="B16" s="8">
        <v>3</v>
      </c>
      <c r="C16" s="8" t="str">
        <f>A9</f>
        <v xml:space="preserve">Chulube </v>
      </c>
      <c r="D16" s="9" t="str">
        <f>A8</f>
        <v>Arbutus xalapensis</v>
      </c>
      <c r="E16" s="61">
        <f>GETPIVOTDATA("No. Arbol",$A$3,"Especie","Arbutus xalapensis")</f>
        <v>48</v>
      </c>
      <c r="F16" s="62">
        <f>E16/E17*100</f>
        <v>50.526315789473685</v>
      </c>
    </row>
    <row r="17" spans="2:6" x14ac:dyDescent="0.25">
      <c r="B17" s="94" t="s">
        <v>25</v>
      </c>
      <c r="C17" s="94"/>
      <c r="D17" s="94"/>
      <c r="E17" s="51">
        <f>SUM(E14:E16)</f>
        <v>95</v>
      </c>
      <c r="F17" s="21">
        <f>SUM(F14:F16)</f>
        <v>100</v>
      </c>
    </row>
  </sheetData>
  <mergeCells count="1">
    <mergeCell ref="B17:D17"/>
  </mergeCell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topLeftCell="B3" workbookViewId="0">
      <selection activeCell="E14" sqref="E14:J17"/>
    </sheetView>
  </sheetViews>
  <sheetFormatPr baseColWidth="10" defaultColWidth="11.42578125" defaultRowHeight="15" x14ac:dyDescent="0.25"/>
  <cols>
    <col min="1" max="1" width="19.5703125" customWidth="1"/>
    <col min="2" max="3" width="21.28515625" customWidth="1"/>
    <col min="4" max="4" width="22.140625" customWidth="1"/>
    <col min="5" max="5" width="15.140625" customWidth="1"/>
    <col min="6" max="6" width="21" customWidth="1"/>
    <col min="7" max="7" width="10.42578125" customWidth="1"/>
    <col min="8" max="8" width="10.28515625" customWidth="1"/>
    <col min="9" max="9" width="7.85546875" customWidth="1"/>
    <col min="10" max="10" width="8.85546875" customWidth="1"/>
  </cols>
  <sheetData>
    <row r="3" spans="1:12" x14ac:dyDescent="0.25">
      <c r="B3" s="3" t="s">
        <v>15</v>
      </c>
    </row>
    <row r="4" spans="1:12" x14ac:dyDescent="0.25">
      <c r="A4" s="3" t="s">
        <v>63</v>
      </c>
      <c r="B4" s="1" t="s">
        <v>14</v>
      </c>
      <c r="C4" s="1" t="s">
        <v>16</v>
      </c>
      <c r="D4" s="1" t="s">
        <v>17</v>
      </c>
      <c r="E4" s="1" t="s">
        <v>18</v>
      </c>
      <c r="F4" s="1" t="s">
        <v>19</v>
      </c>
    </row>
    <row r="5" spans="1:12" x14ac:dyDescent="0.25">
      <c r="A5" s="4" t="s">
        <v>57</v>
      </c>
      <c r="B5" s="7">
        <v>24</v>
      </c>
      <c r="C5" s="2">
        <v>29.041666666666668</v>
      </c>
      <c r="D5" s="2">
        <v>16.416666666666668</v>
      </c>
      <c r="E5" s="2">
        <v>1.9793587968000002</v>
      </c>
      <c r="F5" s="2">
        <v>14.428293860303999</v>
      </c>
    </row>
    <row r="6" spans="1:12" x14ac:dyDescent="0.25">
      <c r="A6" s="4" t="s">
        <v>65</v>
      </c>
      <c r="B6" s="7">
        <v>70</v>
      </c>
      <c r="C6" s="2">
        <v>28.425714285714282</v>
      </c>
      <c r="D6" s="2">
        <v>15.042857142857143</v>
      </c>
      <c r="E6" s="2">
        <v>5.5888938336000002</v>
      </c>
      <c r="F6" s="2">
        <v>37.315288196748</v>
      </c>
    </row>
    <row r="7" spans="1:12" x14ac:dyDescent="0.25">
      <c r="A7" s="4" t="s">
        <v>64</v>
      </c>
      <c r="B7" s="7">
        <v>96</v>
      </c>
      <c r="C7" s="2">
        <v>17.883333333333333</v>
      </c>
      <c r="D7" s="2">
        <v>11.395833333333334</v>
      </c>
      <c r="E7" s="2">
        <v>5.5437207671999991</v>
      </c>
      <c r="F7" s="2">
        <v>31.694562036700006</v>
      </c>
      <c r="L7">
        <f>2013-1977</f>
        <v>36</v>
      </c>
    </row>
    <row r="8" spans="1:12" x14ac:dyDescent="0.25">
      <c r="A8" s="4" t="s">
        <v>12</v>
      </c>
      <c r="B8" s="7">
        <v>190</v>
      </c>
      <c r="C8" s="2">
        <v>23.176842105263155</v>
      </c>
      <c r="D8" s="2">
        <v>13.373684210526315</v>
      </c>
      <c r="E8" s="2">
        <v>13.111973397600002</v>
      </c>
      <c r="F8" s="2">
        <v>83.438144093752001</v>
      </c>
    </row>
    <row r="12" spans="1:12" x14ac:dyDescent="0.25">
      <c r="B12" s="99" t="s">
        <v>26</v>
      </c>
      <c r="C12" s="99" t="s">
        <v>27</v>
      </c>
      <c r="D12" s="96" t="s">
        <v>3</v>
      </c>
      <c r="E12" s="95" t="s">
        <v>14</v>
      </c>
      <c r="F12" s="95" t="s">
        <v>16</v>
      </c>
      <c r="G12" s="95" t="s">
        <v>17</v>
      </c>
      <c r="H12" s="95" t="s">
        <v>18</v>
      </c>
      <c r="I12" s="96" t="s">
        <v>28</v>
      </c>
      <c r="J12" s="96"/>
    </row>
    <row r="13" spans="1:12" x14ac:dyDescent="0.25">
      <c r="B13" s="99"/>
      <c r="C13" s="99"/>
      <c r="D13" s="96"/>
      <c r="E13" s="95"/>
      <c r="F13" s="95"/>
      <c r="G13" s="95"/>
      <c r="H13" s="95"/>
      <c r="I13" s="17" t="s">
        <v>29</v>
      </c>
      <c r="J13" s="17" t="s">
        <v>26</v>
      </c>
    </row>
    <row r="14" spans="1:12" x14ac:dyDescent="0.25">
      <c r="B14" s="97">
        <v>1</v>
      </c>
      <c r="C14" s="98">
        <v>7.12</v>
      </c>
      <c r="D14" s="10" t="str">
        <f>A5</f>
        <v>Cupresus lusitanica</v>
      </c>
      <c r="E14" s="14">
        <f>GETPIVOTDATA("Suma de Densidad/Ha.",$A$3,"Especie","Cupresus lusitanica")</f>
        <v>24</v>
      </c>
      <c r="F14" s="11">
        <f>GETPIVOTDATA("Promedio de DAP (cm)",$A$3,"Especie","Cupresus lusitanica")</f>
        <v>29.041666666666668</v>
      </c>
      <c r="G14" s="11">
        <f>GETPIVOTDATA("Promedio de Altura (m)",$A$3,"Especie","Cupresus lusitanica")</f>
        <v>16.416666666666668</v>
      </c>
      <c r="H14" s="11">
        <f>GETPIVOTDATA("Suma de AB/Ha.",$A$3,"Especie","Cupresus lusitanica")</f>
        <v>1.9793587968000002</v>
      </c>
      <c r="I14" s="11">
        <f>GETPIVOTDATA("Suma de Volumen/Ha.",$A$3,"Especie","Cupresus lusitanica")</f>
        <v>14.428293860303999</v>
      </c>
      <c r="J14" s="12">
        <f>I14*C14</f>
        <v>102.72945228536447</v>
      </c>
    </row>
    <row r="15" spans="1:12" s="1" customFormat="1" x14ac:dyDescent="0.25">
      <c r="B15" s="97"/>
      <c r="C15" s="98"/>
      <c r="D15" s="10" t="str">
        <f>A6</f>
        <v>Pinus pseudostrobus</v>
      </c>
      <c r="E15" s="14">
        <f>GETPIVOTDATA("Suma de Densidad/Ha.",$A$3,"Especie","Pinus pseudostrobus")</f>
        <v>70</v>
      </c>
      <c r="F15" s="11">
        <f>GETPIVOTDATA("Promedio de DAP (cm)",$A$3,"Especie","Pinus pseudostrobus")</f>
        <v>28.425714285714282</v>
      </c>
      <c r="G15" s="11">
        <f>GETPIVOTDATA("Promedio de Altura (m)",$A$3,"Especie","Pinus pseudostrobus")</f>
        <v>15.042857142857143</v>
      </c>
      <c r="H15" s="11">
        <f>GETPIVOTDATA("Suma de AB/Ha.",$A$3,"Especie","Pinus pseudostrobus")</f>
        <v>5.5888938336000002</v>
      </c>
      <c r="I15" s="11">
        <f>GETPIVOTDATA("Suma de Volumen/Ha.",$A$3,"Especie","Pinus pseudostrobus")</f>
        <v>37.315288196748</v>
      </c>
      <c r="J15" s="52">
        <f>I15*C14</f>
        <v>265.68485196084578</v>
      </c>
    </row>
    <row r="16" spans="1:12" s="1" customFormat="1" x14ac:dyDescent="0.25">
      <c r="B16" s="97"/>
      <c r="C16" s="98"/>
      <c r="D16" s="10" t="str">
        <f>A7</f>
        <v>Arbutus xalapensis</v>
      </c>
      <c r="E16" s="14">
        <f>GETPIVOTDATA("Suma de Densidad/Ha.",$A$3,"Especie","Arbutus xalapensis")</f>
        <v>96</v>
      </c>
      <c r="F16" s="11">
        <f>GETPIVOTDATA("Promedio de DAP (cm)",$A$3,"Especie","Arbutus xalapensis")</f>
        <v>17.883333333333333</v>
      </c>
      <c r="G16" s="11">
        <f>GETPIVOTDATA("Promedio de Altura (m)",$A$3,"Especie","Arbutus xalapensis")</f>
        <v>11.395833333333334</v>
      </c>
      <c r="H16" s="11">
        <f>GETPIVOTDATA("Suma de AB/Ha.",$A$3,"Especie","Arbutus xalapensis")</f>
        <v>5.5437207671999991</v>
      </c>
      <c r="I16" s="11">
        <f>GETPIVOTDATA("Suma de Volumen/Ha.",$A$3,"Especie","Arbutus xalapensis")</f>
        <v>31.694562036700006</v>
      </c>
      <c r="J16" s="52">
        <f>I16*C14</f>
        <v>225.66528170130405</v>
      </c>
    </row>
    <row r="17" spans="2:10" x14ac:dyDescent="0.25">
      <c r="B17" s="97"/>
      <c r="C17" s="98"/>
      <c r="D17" s="15" t="s">
        <v>12</v>
      </c>
      <c r="E17" s="16">
        <f>SUM(E14:E16)</f>
        <v>190</v>
      </c>
      <c r="F17" s="65">
        <f>GETPIVOTDATA("Promedio de DAP (cm)",$A$3)</f>
        <v>23.176842105263155</v>
      </c>
      <c r="G17" s="65">
        <f>GETPIVOTDATA("Promedio de Altura (m)",$A$3)</f>
        <v>13.373684210526315</v>
      </c>
      <c r="H17" s="65">
        <f>GETPIVOTDATA("Suma de AB/Ha.",$A$3)</f>
        <v>13.111973397600002</v>
      </c>
      <c r="I17" s="65">
        <f>GETPIVOTDATA("Suma de Volumen/Ha.",$A$3)</f>
        <v>83.438144093752001</v>
      </c>
      <c r="J17" s="66">
        <f>I17*C14</f>
        <v>594.07958594751426</v>
      </c>
    </row>
  </sheetData>
  <mergeCells count="10">
    <mergeCell ref="H12:H13"/>
    <mergeCell ref="I12:J12"/>
    <mergeCell ref="B14:B17"/>
    <mergeCell ref="C14:C17"/>
    <mergeCell ref="B12:B13"/>
    <mergeCell ref="C12:C13"/>
    <mergeCell ref="D12:D13"/>
    <mergeCell ref="E12:E13"/>
    <mergeCell ref="F12:F13"/>
    <mergeCell ref="G12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workbookViewId="0">
      <selection activeCell="G5" sqref="G5"/>
    </sheetView>
  </sheetViews>
  <sheetFormatPr baseColWidth="10" defaultColWidth="11.42578125" defaultRowHeight="15" x14ac:dyDescent="0.25"/>
  <cols>
    <col min="1" max="1" width="18.42578125" bestFit="1" customWidth="1"/>
    <col min="2" max="2" width="13" bestFit="1" customWidth="1"/>
    <col min="3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7" x14ac:dyDescent="0.25">
      <c r="B3" s="3" t="s">
        <v>15</v>
      </c>
    </row>
    <row r="4" spans="1:7" ht="30" x14ac:dyDescent="0.25">
      <c r="A4" s="46" t="s">
        <v>31</v>
      </c>
      <c r="B4" s="27" t="s">
        <v>14</v>
      </c>
      <c r="C4" s="27" t="s">
        <v>16</v>
      </c>
      <c r="D4" s="27" t="s">
        <v>17</v>
      </c>
      <c r="E4" s="27" t="s">
        <v>18</v>
      </c>
      <c r="F4" s="46" t="s">
        <v>19</v>
      </c>
      <c r="G4" s="20" t="s">
        <v>30</v>
      </c>
    </row>
    <row r="5" spans="1:7" x14ac:dyDescent="0.25">
      <c r="A5" s="45">
        <v>1</v>
      </c>
      <c r="B5" s="24">
        <v>22</v>
      </c>
      <c r="C5" s="25">
        <v>17.454545454545453</v>
      </c>
      <c r="D5" s="25">
        <v>10</v>
      </c>
      <c r="E5" s="25">
        <v>0.97832879760000013</v>
      </c>
      <c r="F5" s="44">
        <v>6.097344525156001</v>
      </c>
      <c r="G5" s="26">
        <f>F5*7.12</f>
        <v>43.413093019110725</v>
      </c>
    </row>
    <row r="6" spans="1:7" x14ac:dyDescent="0.25">
      <c r="A6" s="45">
        <v>2</v>
      </c>
      <c r="B6" s="24">
        <v>12</v>
      </c>
      <c r="C6" s="25">
        <v>21.566666666666666</v>
      </c>
      <c r="D6" s="25">
        <v>13.333333333333334</v>
      </c>
      <c r="E6" s="25">
        <v>0.55564850880000005</v>
      </c>
      <c r="F6" s="44">
        <v>6.3896763279759998</v>
      </c>
      <c r="G6" s="26">
        <f>F6*7.12</f>
        <v>45.494495455189117</v>
      </c>
    </row>
    <row r="7" spans="1:7" x14ac:dyDescent="0.25">
      <c r="A7" s="45">
        <v>3</v>
      </c>
      <c r="B7" s="24">
        <v>26</v>
      </c>
      <c r="C7" s="25">
        <v>21.184615384615384</v>
      </c>
      <c r="D7" s="25">
        <v>14.23076923076923</v>
      </c>
      <c r="E7" s="25">
        <v>1.3740007512000001</v>
      </c>
      <c r="F7" s="44">
        <v>7.2930649138719987</v>
      </c>
      <c r="G7" s="26">
        <f t="shared" ref="G7:G15" si="0">F7*7.12</f>
        <v>51.926622186768633</v>
      </c>
    </row>
    <row r="8" spans="1:7" x14ac:dyDescent="0.25">
      <c r="A8" s="45">
        <v>4</v>
      </c>
      <c r="B8" s="24">
        <v>18</v>
      </c>
      <c r="C8" s="25">
        <v>28.4</v>
      </c>
      <c r="D8" s="25">
        <v>15.166666666666666</v>
      </c>
      <c r="E8" s="25">
        <v>1.3527462564000001</v>
      </c>
      <c r="F8" s="44">
        <v>7.7878702102839998</v>
      </c>
      <c r="G8" s="26">
        <f t="shared" si="0"/>
        <v>55.44963589722208</v>
      </c>
    </row>
    <row r="9" spans="1:7" x14ac:dyDescent="0.25">
      <c r="A9" s="45">
        <v>5</v>
      </c>
      <c r="B9" s="24">
        <v>30</v>
      </c>
      <c r="C9" s="25">
        <v>20.133333333333333</v>
      </c>
      <c r="D9" s="25">
        <v>14.866666666666667</v>
      </c>
      <c r="E9" s="25">
        <v>1.5234011099999998</v>
      </c>
      <c r="F9" s="44">
        <v>8.9547449896</v>
      </c>
      <c r="G9" s="26">
        <f t="shared" si="0"/>
        <v>63.757784325952002</v>
      </c>
    </row>
    <row r="10" spans="1:7" x14ac:dyDescent="0.25">
      <c r="A10" s="45">
        <v>6</v>
      </c>
      <c r="B10" s="24">
        <v>18</v>
      </c>
      <c r="C10" s="25">
        <v>22.388888888888889</v>
      </c>
      <c r="D10" s="25">
        <v>9.5555555555555554</v>
      </c>
      <c r="E10" s="25">
        <v>1.8341430491999997</v>
      </c>
      <c r="F10" s="44">
        <v>6.5531940218000004</v>
      </c>
      <c r="G10" s="26">
        <f t="shared" si="0"/>
        <v>46.658741435216001</v>
      </c>
    </row>
    <row r="11" spans="1:7" x14ac:dyDescent="0.25">
      <c r="A11" s="45">
        <v>7</v>
      </c>
      <c r="B11" s="24">
        <v>20</v>
      </c>
      <c r="C11" s="25">
        <v>19.95</v>
      </c>
      <c r="D11" s="25">
        <v>8.5</v>
      </c>
      <c r="E11" s="25">
        <v>2.5745631911999998</v>
      </c>
      <c r="F11" s="44">
        <v>9.8936917802159989</v>
      </c>
      <c r="G11" s="26">
        <f t="shared" si="0"/>
        <v>70.44308547513792</v>
      </c>
    </row>
    <row r="12" spans="1:7" x14ac:dyDescent="0.25">
      <c r="A12" s="45">
        <v>8</v>
      </c>
      <c r="B12" s="24">
        <v>14</v>
      </c>
      <c r="C12" s="25">
        <v>26.142857142857142</v>
      </c>
      <c r="D12" s="25">
        <v>15.285714285714286</v>
      </c>
      <c r="E12" s="25">
        <v>0.94510794840000012</v>
      </c>
      <c r="F12" s="44">
        <v>8.9859669552000003</v>
      </c>
      <c r="G12" s="80">
        <f t="shared" si="0"/>
        <v>63.980084721024006</v>
      </c>
    </row>
    <row r="13" spans="1:7" x14ac:dyDescent="0.25">
      <c r="A13" s="45">
        <v>9</v>
      </c>
      <c r="B13" s="24">
        <v>12</v>
      </c>
      <c r="C13" s="25">
        <v>36.883333333333333</v>
      </c>
      <c r="D13" s="25">
        <v>18.666666666666668</v>
      </c>
      <c r="E13" s="25">
        <v>1.3843915932000002</v>
      </c>
      <c r="F13" s="44">
        <v>10.320954213096</v>
      </c>
      <c r="G13" s="80">
        <f t="shared" si="0"/>
        <v>73.485193997243528</v>
      </c>
    </row>
    <row r="14" spans="1:7" x14ac:dyDescent="0.25">
      <c r="A14" s="45">
        <v>10</v>
      </c>
      <c r="B14" s="24">
        <v>18</v>
      </c>
      <c r="C14" s="25">
        <v>26.900000000000002</v>
      </c>
      <c r="D14" s="25">
        <v>16.222222222222221</v>
      </c>
      <c r="E14" s="25">
        <v>0.58964219159999998</v>
      </c>
      <c r="F14" s="44">
        <v>11.161636156551999</v>
      </c>
      <c r="G14" s="80">
        <f t="shared" si="0"/>
        <v>79.470849434650233</v>
      </c>
    </row>
    <row r="15" spans="1:7" x14ac:dyDescent="0.25">
      <c r="A15" s="48" t="s">
        <v>12</v>
      </c>
      <c r="B15" s="28">
        <v>190</v>
      </c>
      <c r="C15" s="29">
        <v>23.176842105263159</v>
      </c>
      <c r="D15" s="29">
        <v>13.373684210526315</v>
      </c>
      <c r="E15" s="29">
        <v>13.111973397599998</v>
      </c>
      <c r="F15" s="47">
        <v>83.438144093752001</v>
      </c>
      <c r="G15" s="76">
        <f t="shared" si="0"/>
        <v>594.07958594751426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"/>
  <sheetViews>
    <sheetView topLeftCell="A5" workbookViewId="0">
      <selection activeCell="A4" sqref="A4:G21"/>
    </sheetView>
  </sheetViews>
  <sheetFormatPr baseColWidth="10" defaultColWidth="11.42578125" defaultRowHeight="15" x14ac:dyDescent="0.25"/>
  <cols>
    <col min="1" max="1" width="21.42578125" bestFit="1" customWidth="1"/>
    <col min="2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8" x14ac:dyDescent="0.25">
      <c r="B3" s="3" t="s">
        <v>15</v>
      </c>
    </row>
    <row r="4" spans="1:8" ht="45" x14ac:dyDescent="0.25">
      <c r="A4" s="46" t="s">
        <v>33</v>
      </c>
      <c r="B4" s="27" t="s">
        <v>14</v>
      </c>
      <c r="C4" s="27" t="s">
        <v>16</v>
      </c>
      <c r="D4" s="27" t="s">
        <v>17</v>
      </c>
      <c r="E4" s="27" t="s">
        <v>18</v>
      </c>
      <c r="F4" s="46" t="s">
        <v>19</v>
      </c>
      <c r="G4" s="31" t="s">
        <v>32</v>
      </c>
    </row>
    <row r="5" spans="1:8" x14ac:dyDescent="0.25">
      <c r="A5" s="42" t="s">
        <v>57</v>
      </c>
      <c r="B5" s="22">
        <v>24</v>
      </c>
      <c r="C5" s="23">
        <v>29.041666666666668</v>
      </c>
      <c r="D5" s="23">
        <v>16.416666666666668</v>
      </c>
      <c r="E5" s="23">
        <v>1.9793587968000002</v>
      </c>
      <c r="F5" s="43">
        <v>14.428293860304001</v>
      </c>
      <c r="G5" s="13">
        <f>F5*7.12</f>
        <v>102.72945228536449</v>
      </c>
    </row>
    <row r="6" spans="1:8" x14ac:dyDescent="0.25">
      <c r="A6" s="5" t="s">
        <v>51</v>
      </c>
      <c r="B6" s="22">
        <v>10</v>
      </c>
      <c r="C6" s="23">
        <v>13.4</v>
      </c>
      <c r="D6" s="23">
        <v>11.8</v>
      </c>
      <c r="E6" s="23">
        <v>0.1674519924</v>
      </c>
      <c r="F6" s="43">
        <v>0.82521841106400007</v>
      </c>
      <c r="G6" s="67">
        <f t="shared" ref="G6:G21" si="0">F6*7.12</f>
        <v>5.8755550867756803</v>
      </c>
    </row>
    <row r="7" spans="1:8" x14ac:dyDescent="0.25">
      <c r="A7" s="5" t="s">
        <v>58</v>
      </c>
      <c r="B7" s="22">
        <v>8</v>
      </c>
      <c r="C7" s="23">
        <v>36.075000000000003</v>
      </c>
      <c r="D7" s="23">
        <v>18.25</v>
      </c>
      <c r="E7" s="23">
        <v>0.8218881132000001</v>
      </c>
      <c r="F7" s="43">
        <v>5.6863434822959995</v>
      </c>
      <c r="G7" s="67">
        <f t="shared" si="0"/>
        <v>40.486765593947517</v>
      </c>
    </row>
    <row r="8" spans="1:8" x14ac:dyDescent="0.25">
      <c r="A8" s="5" t="s">
        <v>62</v>
      </c>
      <c r="B8" s="22">
        <v>2</v>
      </c>
      <c r="C8" s="23">
        <v>50</v>
      </c>
      <c r="D8" s="23">
        <v>20</v>
      </c>
      <c r="E8" s="23">
        <v>0.39269999999999999</v>
      </c>
      <c r="F8" s="43">
        <v>2.9182703844</v>
      </c>
      <c r="G8" s="67">
        <f t="shared" si="0"/>
        <v>20.778085136927999</v>
      </c>
    </row>
    <row r="9" spans="1:8" x14ac:dyDescent="0.25">
      <c r="A9" s="5" t="s">
        <v>60</v>
      </c>
      <c r="B9" s="22">
        <v>4</v>
      </c>
      <c r="C9" s="23">
        <v>43.6</v>
      </c>
      <c r="D9" s="23">
        <v>22.5</v>
      </c>
      <c r="E9" s="23">
        <v>0.59731869120000003</v>
      </c>
      <c r="F9" s="43">
        <v>4.9984615825440004</v>
      </c>
      <c r="G9" s="67">
        <f t="shared" si="0"/>
        <v>35.589046467713281</v>
      </c>
    </row>
    <row r="10" spans="1:8" x14ac:dyDescent="0.25">
      <c r="A10" s="42" t="s">
        <v>65</v>
      </c>
      <c r="B10" s="22">
        <v>70</v>
      </c>
      <c r="C10" s="23">
        <v>28.425714285714282</v>
      </c>
      <c r="D10" s="23">
        <v>15.042857142857143</v>
      </c>
      <c r="E10" s="23">
        <v>5.5888938335999994</v>
      </c>
      <c r="F10" s="43">
        <v>37.315288196748</v>
      </c>
      <c r="G10" s="13">
        <f t="shared" si="0"/>
        <v>265.68485196084578</v>
      </c>
    </row>
    <row r="11" spans="1:8" x14ac:dyDescent="0.25">
      <c r="A11" s="5" t="s">
        <v>51</v>
      </c>
      <c r="B11" s="22">
        <v>30</v>
      </c>
      <c r="C11" s="23">
        <v>19.513333333333335</v>
      </c>
      <c r="D11" s="23">
        <v>12.533333333333333</v>
      </c>
      <c r="E11" s="23">
        <v>1.5950233067999999</v>
      </c>
      <c r="F11" s="43">
        <v>9.7812625696160005</v>
      </c>
      <c r="G11" s="67">
        <f t="shared" si="0"/>
        <v>69.642589495665931</v>
      </c>
      <c r="H11" s="50"/>
    </row>
    <row r="12" spans="1:8" x14ac:dyDescent="0.25">
      <c r="A12" s="5" t="s">
        <v>52</v>
      </c>
      <c r="B12" s="22">
        <v>10</v>
      </c>
      <c r="C12" s="23">
        <v>23.6</v>
      </c>
      <c r="D12" s="23">
        <v>15.6</v>
      </c>
      <c r="E12" s="23">
        <v>0.44704968</v>
      </c>
      <c r="F12" s="43">
        <v>2.5954159391999996</v>
      </c>
      <c r="G12" s="67">
        <f t="shared" si="0"/>
        <v>18.479361487103997</v>
      </c>
      <c r="H12" s="50"/>
    </row>
    <row r="13" spans="1:8" x14ac:dyDescent="0.25">
      <c r="A13" s="5" t="s">
        <v>58</v>
      </c>
      <c r="B13" s="22">
        <v>22</v>
      </c>
      <c r="C13" s="23">
        <v>34.354545454545459</v>
      </c>
      <c r="D13" s="23">
        <v>16.863636363636363</v>
      </c>
      <c r="E13" s="23">
        <v>2.0514443795999999</v>
      </c>
      <c r="F13" s="43">
        <v>12.884086926003999</v>
      </c>
      <c r="G13" s="67">
        <f t="shared" si="0"/>
        <v>91.734698913148478</v>
      </c>
      <c r="H13" s="50"/>
    </row>
    <row r="14" spans="1:8" x14ac:dyDescent="0.25">
      <c r="A14" s="5" t="s">
        <v>62</v>
      </c>
      <c r="B14" s="22">
        <v>2</v>
      </c>
      <c r="C14" s="23">
        <v>62.8</v>
      </c>
      <c r="D14" s="23">
        <v>23</v>
      </c>
      <c r="E14" s="23">
        <v>0.18158448000000002</v>
      </c>
      <c r="F14" s="43">
        <v>5.1996216241279996</v>
      </c>
      <c r="G14" s="67">
        <f t="shared" si="0"/>
        <v>37.021305963791356</v>
      </c>
      <c r="H14" s="50"/>
    </row>
    <row r="15" spans="1:8" x14ac:dyDescent="0.25">
      <c r="A15" s="5" t="s">
        <v>60</v>
      </c>
      <c r="B15" s="22">
        <v>6</v>
      </c>
      <c r="C15" s="23">
        <v>47.833333333333336</v>
      </c>
      <c r="D15" s="23">
        <v>17.333333333333332</v>
      </c>
      <c r="E15" s="23">
        <v>1.3137919872000001</v>
      </c>
      <c r="F15" s="43">
        <v>6.8549011377999989</v>
      </c>
      <c r="G15" s="67">
        <f t="shared" si="0"/>
        <v>48.80689610113599</v>
      </c>
      <c r="H15" s="50"/>
    </row>
    <row r="16" spans="1:8" x14ac:dyDescent="0.25">
      <c r="A16" s="42" t="s">
        <v>64</v>
      </c>
      <c r="B16" s="22">
        <v>96</v>
      </c>
      <c r="C16" s="23">
        <v>17.883333333333329</v>
      </c>
      <c r="D16" s="23">
        <v>11.395833333333334</v>
      </c>
      <c r="E16" s="23">
        <v>5.5437207671999991</v>
      </c>
      <c r="F16" s="43">
        <v>31.694562036700006</v>
      </c>
      <c r="G16" s="13">
        <f t="shared" si="0"/>
        <v>225.66528170130405</v>
      </c>
    </row>
    <row r="17" spans="1:7" x14ac:dyDescent="0.25">
      <c r="A17" s="5" t="s">
        <v>51</v>
      </c>
      <c r="B17" s="22">
        <v>76</v>
      </c>
      <c r="C17" s="23">
        <v>15.199999999999998</v>
      </c>
      <c r="D17" s="23">
        <v>10.263157894736842</v>
      </c>
      <c r="E17" s="23">
        <v>4.8375314987999989</v>
      </c>
      <c r="F17" s="43">
        <v>17.276594989500001</v>
      </c>
      <c r="G17" s="67">
        <f t="shared" si="0"/>
        <v>123.00935632524001</v>
      </c>
    </row>
    <row r="18" spans="1:7" x14ac:dyDescent="0.25">
      <c r="A18" s="5" t="s">
        <v>52</v>
      </c>
      <c r="B18" s="22">
        <v>10</v>
      </c>
      <c r="C18" s="23">
        <v>23.56</v>
      </c>
      <c r="D18" s="23">
        <v>14.8</v>
      </c>
      <c r="E18" s="23">
        <v>0.26719307999999997</v>
      </c>
      <c r="F18" s="43">
        <v>4.9942547532000008</v>
      </c>
      <c r="G18" s="67">
        <f t="shared" si="0"/>
        <v>35.559093842784009</v>
      </c>
    </row>
    <row r="19" spans="1:7" x14ac:dyDescent="0.25">
      <c r="A19" s="5" t="s">
        <v>58</v>
      </c>
      <c r="B19" s="22">
        <v>8</v>
      </c>
      <c r="C19" s="23">
        <v>30.25</v>
      </c>
      <c r="D19" s="23">
        <v>16.75</v>
      </c>
      <c r="E19" s="23">
        <v>0.1321184172</v>
      </c>
      <c r="F19" s="43">
        <v>6.5822622100000006</v>
      </c>
      <c r="G19" s="67">
        <f t="shared" si="0"/>
        <v>46.865706935200002</v>
      </c>
    </row>
    <row r="20" spans="1:7" x14ac:dyDescent="0.25">
      <c r="A20" s="5" t="s">
        <v>60</v>
      </c>
      <c r="B20" s="22">
        <v>2</v>
      </c>
      <c r="C20" s="23">
        <v>42</v>
      </c>
      <c r="D20" s="23">
        <v>16</v>
      </c>
      <c r="E20" s="23">
        <v>0.30687777120000004</v>
      </c>
      <c r="F20" s="43">
        <v>2.8414500839999999</v>
      </c>
      <c r="G20" s="67">
        <f t="shared" si="0"/>
        <v>20.231124598080001</v>
      </c>
    </row>
    <row r="21" spans="1:7" x14ac:dyDescent="0.25">
      <c r="A21" s="49" t="s">
        <v>12</v>
      </c>
      <c r="B21" s="40">
        <v>190</v>
      </c>
      <c r="C21" s="41">
        <v>23.176842105263155</v>
      </c>
      <c r="D21" s="41">
        <v>13.373684210526315</v>
      </c>
      <c r="E21" s="41">
        <v>13.1119733976</v>
      </c>
      <c r="F21" s="64">
        <v>83.438144093751959</v>
      </c>
      <c r="G21" s="30">
        <f t="shared" si="0"/>
        <v>594.07958594751392</v>
      </c>
    </row>
    <row r="22" spans="1:7" x14ac:dyDescent="0.25">
      <c r="G22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B3" sqref="B3:F16"/>
    </sheetView>
  </sheetViews>
  <sheetFormatPr baseColWidth="10" defaultColWidth="11.42578125" defaultRowHeight="15" x14ac:dyDescent="0.25"/>
  <cols>
    <col min="5" max="5" width="21.140625" customWidth="1"/>
    <col min="6" max="6" width="12.85546875" customWidth="1"/>
  </cols>
  <sheetData>
    <row r="3" spans="2:6" x14ac:dyDescent="0.25">
      <c r="B3" s="100" t="s">
        <v>34</v>
      </c>
      <c r="C3" s="100"/>
      <c r="D3" s="32" t="s">
        <v>35</v>
      </c>
      <c r="E3" s="32" t="s">
        <v>36</v>
      </c>
      <c r="F3" s="33" t="s">
        <v>37</v>
      </c>
    </row>
    <row r="4" spans="2:6" x14ac:dyDescent="0.25">
      <c r="B4" s="100"/>
      <c r="C4" s="100"/>
      <c r="D4" s="34">
        <v>7.12</v>
      </c>
      <c r="E4" s="34">
        <v>1.833</v>
      </c>
      <c r="F4" s="34">
        <v>10</v>
      </c>
    </row>
    <row r="5" spans="2:6" x14ac:dyDescent="0.25">
      <c r="B5" s="32" t="s">
        <v>38</v>
      </c>
      <c r="C5" s="32" t="s">
        <v>39</v>
      </c>
      <c r="D5" s="32" t="s">
        <v>40</v>
      </c>
      <c r="E5" s="32" t="s">
        <v>41</v>
      </c>
      <c r="F5" s="32" t="s">
        <v>42</v>
      </c>
    </row>
    <row r="6" spans="2:6" x14ac:dyDescent="0.25">
      <c r="B6" s="32">
        <v>1</v>
      </c>
      <c r="C6" s="44">
        <v>6.097344525156001</v>
      </c>
      <c r="D6" s="35">
        <f>C6*C6</f>
        <v>37.17761025844986</v>
      </c>
      <c r="E6" s="32" t="s">
        <v>43</v>
      </c>
      <c r="F6" s="36">
        <f>C16/F4</f>
        <v>8.3438144093752022</v>
      </c>
    </row>
    <row r="7" spans="2:6" x14ac:dyDescent="0.25">
      <c r="B7" s="32">
        <v>2</v>
      </c>
      <c r="C7" s="44">
        <v>6.3896763279759998</v>
      </c>
      <c r="D7" s="35">
        <f>C7*C7</f>
        <v>40.82796357629686</v>
      </c>
      <c r="E7" s="32" t="s">
        <v>44</v>
      </c>
      <c r="F7" s="37">
        <f>(((D16)-((C16*C16)/F4))/(F4-1))</f>
        <v>3.1690743935564822</v>
      </c>
    </row>
    <row r="8" spans="2:6" x14ac:dyDescent="0.25">
      <c r="B8" s="32">
        <v>3</v>
      </c>
      <c r="C8" s="44">
        <v>7.2930649138719987</v>
      </c>
      <c r="D8" s="35">
        <f>C8*C8</f>
        <v>53.188795837950785</v>
      </c>
      <c r="E8" s="32" t="s">
        <v>45</v>
      </c>
      <c r="F8" s="37">
        <f>SQRT(F7)</f>
        <v>1.7801894263129647</v>
      </c>
    </row>
    <row r="9" spans="2:6" x14ac:dyDescent="0.25">
      <c r="B9" s="75">
        <v>4</v>
      </c>
      <c r="C9" s="44">
        <v>7.7878702102839998</v>
      </c>
      <c r="D9" s="35">
        <f t="shared" ref="D9:D15" si="0">C9*C9</f>
        <v>60.650922412228951</v>
      </c>
      <c r="E9" s="32" t="s">
        <v>46</v>
      </c>
      <c r="F9" s="37">
        <f>SQRT(((F7)/F4)*(1-((F4)/(D4*10))))</f>
        <v>0.52191758691965418</v>
      </c>
    </row>
    <row r="10" spans="2:6" x14ac:dyDescent="0.25">
      <c r="B10" s="75">
        <v>5</v>
      </c>
      <c r="C10" s="44">
        <v>8.9547449896</v>
      </c>
      <c r="D10" s="35">
        <f t="shared" si="0"/>
        <v>80.187457828766298</v>
      </c>
      <c r="E10" s="32" t="s">
        <v>47</v>
      </c>
      <c r="F10" s="37">
        <f>F9*E4</f>
        <v>0.95667493682372606</v>
      </c>
    </row>
    <row r="11" spans="2:6" x14ac:dyDescent="0.25">
      <c r="B11" s="75">
        <v>6</v>
      </c>
      <c r="C11" s="44">
        <v>6.5531940218000004</v>
      </c>
      <c r="D11" s="35">
        <f t="shared" si="0"/>
        <v>42.944351887355268</v>
      </c>
      <c r="E11" s="32" t="s">
        <v>47</v>
      </c>
      <c r="F11" s="38">
        <f>((F10)/F6)</f>
        <v>0.11465678524066829</v>
      </c>
    </row>
    <row r="12" spans="2:6" x14ac:dyDescent="0.25">
      <c r="B12" s="75">
        <v>7</v>
      </c>
      <c r="C12" s="44">
        <v>9.8936917802159989</v>
      </c>
      <c r="D12" s="35">
        <f t="shared" si="0"/>
        <v>97.885137041913623</v>
      </c>
      <c r="E12" s="32" t="s">
        <v>48</v>
      </c>
      <c r="F12" s="37">
        <f>F6+F10</f>
        <v>9.300489346198928</v>
      </c>
    </row>
    <row r="13" spans="2:6" x14ac:dyDescent="0.25">
      <c r="B13" s="78">
        <v>8</v>
      </c>
      <c r="C13" s="44">
        <v>8.9859669552000003</v>
      </c>
      <c r="D13" s="35">
        <f t="shared" si="0"/>
        <v>80.747602119946364</v>
      </c>
      <c r="E13" s="32" t="s">
        <v>49</v>
      </c>
      <c r="F13" s="37">
        <f>F6-F10</f>
        <v>7.3871394725514765</v>
      </c>
    </row>
    <row r="14" spans="2:6" x14ac:dyDescent="0.25">
      <c r="B14" s="78">
        <v>9</v>
      </c>
      <c r="C14" s="44">
        <v>10.320954213096</v>
      </c>
      <c r="D14" s="35">
        <f t="shared" si="0"/>
        <v>106.52209586882407</v>
      </c>
      <c r="E14" s="32"/>
      <c r="F14" s="37"/>
    </row>
    <row r="15" spans="2:6" x14ac:dyDescent="0.25">
      <c r="B15" s="78">
        <v>10</v>
      </c>
      <c r="C15" s="44">
        <v>11.161636156551999</v>
      </c>
      <c r="D15" s="35">
        <f t="shared" si="0"/>
        <v>124.58212169124889</v>
      </c>
      <c r="E15" s="32"/>
      <c r="F15" s="37"/>
    </row>
    <row r="16" spans="2:6" x14ac:dyDescent="0.25">
      <c r="B16" s="32" t="s">
        <v>50</v>
      </c>
      <c r="C16" s="39">
        <f>SUM(C6:C15)</f>
        <v>83.438144093752015</v>
      </c>
      <c r="D16" s="39">
        <f>SUM(D6:D15)</f>
        <v>724.71405852298085</v>
      </c>
      <c r="E16" s="32"/>
      <c r="F16" s="32"/>
    </row>
  </sheetData>
  <mergeCells count="1">
    <mergeCell ref="B3:C4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12" sqref="G12"/>
    </sheetView>
  </sheetViews>
  <sheetFormatPr baseColWidth="10" defaultColWidth="11.42578125" defaultRowHeight="15" x14ac:dyDescent="0.25"/>
  <sheetData>
    <row r="1" spans="1:3" x14ac:dyDescent="0.25">
      <c r="A1" s="81" t="s">
        <v>20</v>
      </c>
      <c r="B1" s="81" t="s">
        <v>66</v>
      </c>
      <c r="C1" s="81" t="s">
        <v>67</v>
      </c>
    </row>
    <row r="2" spans="1:3" x14ac:dyDescent="0.25">
      <c r="A2" s="8">
        <v>1</v>
      </c>
      <c r="B2" s="8">
        <v>392277</v>
      </c>
      <c r="C2" s="8">
        <v>1724774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E4" sqref="E4"/>
    </sheetView>
  </sheetViews>
  <sheetFormatPr baseColWidth="10" defaultColWidth="11.42578125" defaultRowHeight="15" x14ac:dyDescent="0.25"/>
  <cols>
    <col min="1" max="1" width="11.42578125" style="1"/>
    <col min="5" max="5" width="14" bestFit="1" customWidth="1"/>
    <col min="8" max="8" width="14" bestFit="1" customWidth="1"/>
    <col min="11" max="11" width="14" bestFit="1" customWidth="1"/>
  </cols>
  <sheetData>
    <row r="1" spans="1:11" x14ac:dyDescent="0.25">
      <c r="A1" s="92" t="s">
        <v>73</v>
      </c>
      <c r="B1" s="79" t="s">
        <v>20</v>
      </c>
      <c r="C1" s="82" t="s">
        <v>66</v>
      </c>
      <c r="D1" s="82" t="s">
        <v>67</v>
      </c>
      <c r="E1" s="90" t="s">
        <v>69</v>
      </c>
      <c r="F1" s="90" t="s">
        <v>70</v>
      </c>
      <c r="G1" s="90" t="s">
        <v>71</v>
      </c>
      <c r="H1" s="92" t="s">
        <v>74</v>
      </c>
      <c r="I1" s="92" t="s">
        <v>75</v>
      </c>
      <c r="J1" s="92" t="s">
        <v>76</v>
      </c>
      <c r="K1" s="90" t="s">
        <v>72</v>
      </c>
    </row>
    <row r="2" spans="1:11" x14ac:dyDescent="0.25">
      <c r="A2" s="93" t="s">
        <v>77</v>
      </c>
      <c r="B2" s="82">
        <v>1</v>
      </c>
      <c r="C2" s="83">
        <v>392698</v>
      </c>
      <c r="D2" s="83">
        <v>1725124</v>
      </c>
      <c r="E2" s="90">
        <f>500/10000</f>
        <v>0.05</v>
      </c>
      <c r="G2" s="91">
        <v>41306</v>
      </c>
      <c r="K2" t="s">
        <v>68</v>
      </c>
    </row>
    <row r="3" spans="1:11" x14ac:dyDescent="0.25">
      <c r="A3" s="93" t="s">
        <v>77</v>
      </c>
      <c r="B3" s="82">
        <v>2</v>
      </c>
      <c r="C3" s="82">
        <v>392595</v>
      </c>
      <c r="D3" s="82">
        <v>1725136</v>
      </c>
      <c r="E3" s="90">
        <f t="shared" ref="E3:E11" si="0">500/10000</f>
        <v>0.05</v>
      </c>
      <c r="G3" s="91">
        <v>41306</v>
      </c>
      <c r="K3" s="1" t="s">
        <v>68</v>
      </c>
    </row>
    <row r="4" spans="1:11" x14ac:dyDescent="0.25">
      <c r="A4" s="93" t="s">
        <v>77</v>
      </c>
      <c r="B4" s="82">
        <v>3</v>
      </c>
      <c r="C4" s="82">
        <v>392612</v>
      </c>
      <c r="D4" s="82">
        <v>1725091</v>
      </c>
      <c r="E4" s="90">
        <f t="shared" si="0"/>
        <v>0.05</v>
      </c>
      <c r="G4" s="91">
        <v>41306</v>
      </c>
      <c r="K4" s="1" t="s">
        <v>68</v>
      </c>
    </row>
    <row r="5" spans="1:11" x14ac:dyDescent="0.25">
      <c r="A5" s="93" t="s">
        <v>77</v>
      </c>
      <c r="B5" s="82">
        <v>4</v>
      </c>
      <c r="C5" s="82">
        <v>392548</v>
      </c>
      <c r="D5" s="82">
        <v>1725108</v>
      </c>
      <c r="E5" s="90">
        <f t="shared" si="0"/>
        <v>0.05</v>
      </c>
      <c r="G5" s="91">
        <v>41306</v>
      </c>
      <c r="K5" s="1" t="s">
        <v>68</v>
      </c>
    </row>
    <row r="6" spans="1:11" x14ac:dyDescent="0.25">
      <c r="A6" s="93" t="s">
        <v>77</v>
      </c>
      <c r="B6" s="82">
        <v>5</v>
      </c>
      <c r="C6" s="82">
        <v>392535</v>
      </c>
      <c r="D6" s="82">
        <v>1725059</v>
      </c>
      <c r="E6" s="90">
        <f t="shared" si="0"/>
        <v>0.05</v>
      </c>
      <c r="G6" s="91">
        <v>41306</v>
      </c>
      <c r="K6" s="1" t="s">
        <v>68</v>
      </c>
    </row>
    <row r="7" spans="1:11" x14ac:dyDescent="0.25">
      <c r="A7" s="93" t="s">
        <v>77</v>
      </c>
      <c r="B7" s="82">
        <v>6</v>
      </c>
      <c r="C7" s="83">
        <v>392545</v>
      </c>
      <c r="D7" s="83">
        <v>1725006</v>
      </c>
      <c r="E7" s="90">
        <f t="shared" si="0"/>
        <v>0.05</v>
      </c>
      <c r="G7" s="91">
        <v>41306</v>
      </c>
      <c r="K7" s="1" t="s">
        <v>68</v>
      </c>
    </row>
    <row r="8" spans="1:11" x14ac:dyDescent="0.25">
      <c r="A8" s="93" t="s">
        <v>77</v>
      </c>
      <c r="B8" s="82">
        <v>7</v>
      </c>
      <c r="C8" s="83">
        <v>392456</v>
      </c>
      <c r="D8" s="83">
        <v>1725030</v>
      </c>
      <c r="E8" s="90">
        <f t="shared" si="0"/>
        <v>0.05</v>
      </c>
      <c r="G8" s="91">
        <v>41306</v>
      </c>
      <c r="K8" s="1" t="s">
        <v>68</v>
      </c>
    </row>
    <row r="9" spans="1:11" x14ac:dyDescent="0.25">
      <c r="A9" s="93" t="s">
        <v>77</v>
      </c>
      <c r="B9" s="83">
        <v>8</v>
      </c>
      <c r="C9" s="82">
        <v>392367</v>
      </c>
      <c r="D9" s="83">
        <v>1724989</v>
      </c>
      <c r="E9" s="90">
        <f t="shared" si="0"/>
        <v>0.05</v>
      </c>
      <c r="G9" s="91">
        <v>41306</v>
      </c>
      <c r="K9" s="1" t="s">
        <v>68</v>
      </c>
    </row>
    <row r="10" spans="1:11" x14ac:dyDescent="0.25">
      <c r="A10" s="93" t="s">
        <v>77</v>
      </c>
      <c r="B10" s="83">
        <v>9</v>
      </c>
      <c r="C10" s="82">
        <v>392464</v>
      </c>
      <c r="D10" s="82">
        <v>1724935</v>
      </c>
      <c r="E10" s="90">
        <f t="shared" si="0"/>
        <v>0.05</v>
      </c>
      <c r="G10" s="91">
        <v>41306</v>
      </c>
      <c r="K10" s="1" t="s">
        <v>68</v>
      </c>
    </row>
    <row r="11" spans="1:11" x14ac:dyDescent="0.25">
      <c r="A11" s="93" t="s">
        <v>77</v>
      </c>
      <c r="B11" s="83">
        <v>10</v>
      </c>
      <c r="C11" s="82">
        <v>392308</v>
      </c>
      <c r="D11" s="82">
        <v>1724832</v>
      </c>
      <c r="E11" s="90">
        <f t="shared" si="0"/>
        <v>0.05</v>
      </c>
      <c r="G11" s="91">
        <v>41306</v>
      </c>
      <c r="K11" s="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base de datos</vt:lpstr>
      <vt:lpstr>% de abundancia</vt:lpstr>
      <vt:lpstr>cuadro 3</vt:lpstr>
      <vt:lpstr>anexo 2</vt:lpstr>
      <vt:lpstr>anexo 3</vt:lpstr>
      <vt:lpstr>analisis</vt:lpstr>
      <vt:lpstr>punto de referencia</vt:lpstr>
      <vt:lpstr>parcelas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DangerGo</cp:lastModifiedBy>
  <cp:lastPrinted>2013-10-30T04:25:04Z</cp:lastPrinted>
  <dcterms:created xsi:type="dcterms:W3CDTF">2013-02-20T15:36:32Z</dcterms:created>
  <dcterms:modified xsi:type="dcterms:W3CDTF">2017-03-27T00:07:24Z</dcterms:modified>
</cp:coreProperties>
</file>