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CARBONO_REDD+GT\ASINFOR\HENRY_LOPEZ_IF_2013\"/>
    </mc:Choice>
  </mc:AlternateContent>
  <bookViews>
    <workbookView xWindow="240" yWindow="75" windowWidth="15480" windowHeight="7995" firstSheet="1" activeTab="7"/>
  </bookViews>
  <sheets>
    <sheet name="base de datos" sheetId="1" r:id="rId1"/>
    <sheet name="% de abundancia" sheetId="4" r:id="rId2"/>
    <sheet name="cuadro 3" sheetId="5" r:id="rId3"/>
    <sheet name="anexo 2" sheetId="6" r:id="rId4"/>
    <sheet name="anexo 3" sheetId="7" r:id="rId5"/>
    <sheet name="analisis" sheetId="2" r:id="rId6"/>
    <sheet name="P. referencia" sheetId="8" r:id="rId7"/>
    <sheet name="parcelas" sheetId="9" r:id="rId8"/>
  </sheets>
  <definedNames>
    <definedName name="_xlnm._FilterDatabase" localSheetId="0" hidden="1">'base de datos'!$A$1:$L$32</definedName>
  </definedNames>
  <calcPr calcId="152511"/>
  <pivotCaches>
    <pivotCache cacheId="22" r:id="rId9"/>
  </pivotCaches>
</workbook>
</file>

<file path=xl/calcChain.xml><?xml version="1.0" encoding="utf-8"?>
<calcChain xmlns="http://schemas.openxmlformats.org/spreadsheetml/2006/main">
  <c r="E4" i="9" l="1"/>
  <c r="E3" i="9"/>
  <c r="E2" i="9"/>
  <c r="G6" i="7" l="1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5" i="7"/>
  <c r="G6" i="6" l="1"/>
  <c r="G7" i="6"/>
  <c r="G8" i="6"/>
  <c r="G5" i="6"/>
  <c r="J32" i="1"/>
  <c r="J23" i="1"/>
  <c r="J7" i="1"/>
  <c r="J6" i="1"/>
  <c r="J10" i="1"/>
  <c r="J9" i="1"/>
  <c r="J4" i="1"/>
  <c r="J31" i="1"/>
  <c r="J30" i="1"/>
  <c r="J29" i="1"/>
  <c r="J28" i="1"/>
  <c r="J27" i="1"/>
  <c r="J26" i="1"/>
  <c r="J25" i="1"/>
  <c r="J24" i="1"/>
  <c r="J22" i="1"/>
  <c r="J21" i="1"/>
  <c r="J20" i="1"/>
  <c r="J19" i="1"/>
  <c r="J18" i="1"/>
  <c r="J16" i="1"/>
  <c r="J15" i="1"/>
  <c r="J14" i="1"/>
  <c r="J13" i="1"/>
  <c r="J12" i="1"/>
  <c r="J17" i="1"/>
  <c r="J11" i="1"/>
  <c r="J8" i="1"/>
  <c r="J5" i="1"/>
  <c r="D17" i="5"/>
  <c r="D16" i="5"/>
  <c r="D15" i="5"/>
  <c r="D14" i="5"/>
  <c r="J3" i="1"/>
  <c r="J2" i="1"/>
  <c r="D23" i="4"/>
  <c r="D22" i="4"/>
  <c r="D21" i="4"/>
  <c r="D20" i="4"/>
  <c r="C23" i="4"/>
  <c r="C22" i="4"/>
  <c r="C21" i="4"/>
  <c r="C20" i="4"/>
  <c r="G17" i="5"/>
  <c r="H15" i="5"/>
  <c r="E15" i="5"/>
  <c r="E16" i="5"/>
  <c r="I14" i="5"/>
  <c r="F17" i="5"/>
  <c r="I15" i="5"/>
  <c r="F14" i="5"/>
  <c r="F16" i="5"/>
  <c r="I17" i="5"/>
  <c r="E17" i="5"/>
  <c r="E14" i="5"/>
  <c r="H16" i="5"/>
  <c r="I16" i="5"/>
  <c r="H17" i="5"/>
  <c r="E23" i="4"/>
  <c r="E20" i="4"/>
  <c r="G14" i="5"/>
  <c r="E22" i="4"/>
  <c r="G15" i="5"/>
  <c r="F15" i="5"/>
  <c r="G16" i="5"/>
  <c r="H14" i="5"/>
  <c r="E21" i="4"/>
  <c r="J15" i="5" l="1"/>
  <c r="J16" i="5"/>
  <c r="J17" i="5"/>
  <c r="E24" i="4"/>
  <c r="F20" i="4" s="1"/>
  <c r="H3" i="1"/>
  <c r="O3" i="1"/>
  <c r="H30" i="1"/>
  <c r="H29" i="1"/>
  <c r="K10" i="4"/>
  <c r="L7" i="5"/>
  <c r="C16" i="2"/>
  <c r="F6" i="2" s="1"/>
  <c r="D15" i="2"/>
  <c r="D14" i="2"/>
  <c r="D13" i="2"/>
  <c r="D12" i="2"/>
  <c r="D11" i="2"/>
  <c r="D10" i="2"/>
  <c r="D9" i="2"/>
  <c r="D8" i="2"/>
  <c r="D7" i="2"/>
  <c r="D6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1" i="1"/>
  <c r="H32" i="1"/>
  <c r="H2" i="1"/>
  <c r="I18" i="5"/>
  <c r="H18" i="5"/>
  <c r="F18" i="5"/>
  <c r="G18" i="5"/>
  <c r="I31" i="1" l="1"/>
  <c r="I27" i="1"/>
  <c r="I25" i="1"/>
  <c r="I23" i="1"/>
  <c r="I21" i="1"/>
  <c r="I19" i="1"/>
  <c r="I17" i="1"/>
  <c r="I15" i="1"/>
  <c r="I13" i="1"/>
  <c r="I11" i="1"/>
  <c r="I9" i="1"/>
  <c r="I7" i="1"/>
  <c r="I5" i="1"/>
  <c r="D16" i="2"/>
  <c r="F7" i="2" s="1"/>
  <c r="F9" i="2" s="1"/>
  <c r="F10" i="2" s="1"/>
  <c r="F11" i="2" s="1"/>
  <c r="J18" i="5"/>
  <c r="F23" i="4"/>
  <c r="F21" i="4"/>
  <c r="F22" i="4"/>
  <c r="L4" i="1"/>
  <c r="K4" i="1"/>
  <c r="K6" i="1"/>
  <c r="K8" i="1"/>
  <c r="K10" i="1"/>
  <c r="K12" i="1"/>
  <c r="K14" i="1"/>
  <c r="K16" i="1"/>
  <c r="K18" i="1"/>
  <c r="K20" i="1"/>
  <c r="K22" i="1"/>
  <c r="K24" i="1"/>
  <c r="K26" i="1"/>
  <c r="K28" i="1"/>
  <c r="K30" i="1"/>
  <c r="K32" i="1"/>
  <c r="K3" i="1"/>
  <c r="K5" i="1"/>
  <c r="K7" i="1"/>
  <c r="K9" i="1"/>
  <c r="K11" i="1"/>
  <c r="K13" i="1"/>
  <c r="K15" i="1"/>
  <c r="K17" i="1"/>
  <c r="K19" i="1"/>
  <c r="K21" i="1"/>
  <c r="K23" i="1"/>
  <c r="K25" i="1"/>
  <c r="K27" i="1"/>
  <c r="K29" i="1"/>
  <c r="K31" i="1"/>
  <c r="K2" i="1"/>
  <c r="I30" i="1"/>
  <c r="I2" i="1"/>
  <c r="I32" i="1"/>
  <c r="I28" i="1"/>
  <c r="I26" i="1"/>
  <c r="I24" i="1"/>
  <c r="I22" i="1"/>
  <c r="I20" i="1"/>
  <c r="I18" i="1"/>
  <c r="I16" i="1"/>
  <c r="I14" i="1"/>
  <c r="I12" i="1"/>
  <c r="I10" i="1"/>
  <c r="I8" i="1"/>
  <c r="I6" i="1"/>
  <c r="I4" i="1"/>
  <c r="I29" i="1"/>
  <c r="I3" i="1"/>
  <c r="L31" i="1"/>
  <c r="L30" i="1"/>
  <c r="L28" i="1"/>
  <c r="L26" i="1"/>
  <c r="L24" i="1"/>
  <c r="L22" i="1"/>
  <c r="L20" i="1"/>
  <c r="L18" i="1"/>
  <c r="L16" i="1"/>
  <c r="L14" i="1"/>
  <c r="L11" i="1"/>
  <c r="L9" i="1"/>
  <c r="L7" i="1"/>
  <c r="L5" i="1"/>
  <c r="L3" i="1"/>
  <c r="L2" i="1"/>
  <c r="L32" i="1"/>
  <c r="L29" i="1"/>
  <c r="L27" i="1"/>
  <c r="L25" i="1"/>
  <c r="L23" i="1"/>
  <c r="L21" i="1"/>
  <c r="L19" i="1"/>
  <c r="L17" i="1"/>
  <c r="L15" i="1"/>
  <c r="L13" i="1"/>
  <c r="L12" i="1"/>
  <c r="L10" i="1"/>
  <c r="L8" i="1"/>
  <c r="L6" i="1"/>
  <c r="E18" i="5"/>
  <c r="J14" i="5"/>
  <c r="F24" i="4" l="1"/>
  <c r="F8" i="2"/>
  <c r="F13" i="2"/>
  <c r="F12" i="2"/>
</calcChain>
</file>

<file path=xl/sharedStrings.xml><?xml version="1.0" encoding="utf-8"?>
<sst xmlns="http://schemas.openxmlformats.org/spreadsheetml/2006/main" count="219" uniqueCount="80">
  <si>
    <t>Parcela</t>
  </si>
  <si>
    <t>No. Arbol</t>
  </si>
  <si>
    <t>Nombre común</t>
  </si>
  <si>
    <t>Especie</t>
  </si>
  <si>
    <t>Clase diámetrica</t>
  </si>
  <si>
    <t>DAP (cm)</t>
  </si>
  <si>
    <t>Altura (m)</t>
  </si>
  <si>
    <t>Area Basal (m2)</t>
  </si>
  <si>
    <t>AB/Ha.</t>
  </si>
  <si>
    <t>Volumen (m3)</t>
  </si>
  <si>
    <t>Volumen/Ha.</t>
  </si>
  <si>
    <t>Densidad/Ha.</t>
  </si>
  <si>
    <t>Total general</t>
  </si>
  <si>
    <t>Cuenta de No. Arbol</t>
  </si>
  <si>
    <t>Suma de Densidad/Ha.</t>
  </si>
  <si>
    <t>Valores</t>
  </si>
  <si>
    <t>Promedio de DAP (cm)</t>
  </si>
  <si>
    <t>Promedio de Altura (m)</t>
  </si>
  <si>
    <t>Suma de AB/Ha.</t>
  </si>
  <si>
    <t>Suma de Volumen/Ha.</t>
  </si>
  <si>
    <t>No.</t>
  </si>
  <si>
    <t>NOMBRE COMUN</t>
  </si>
  <si>
    <t>ESPECIE</t>
  </si>
  <si>
    <t>PRESENCIA</t>
  </si>
  <si>
    <t>% DE ABUNDANCIA</t>
  </si>
  <si>
    <t>Total General</t>
  </si>
  <si>
    <t>Rodal</t>
  </si>
  <si>
    <t>Área (has)</t>
  </si>
  <si>
    <r>
      <t>Volumen m</t>
    </r>
    <r>
      <rPr>
        <b/>
        <sz val="11"/>
        <color theme="1"/>
        <rFont val="Calibri"/>
        <family val="2"/>
      </rPr>
      <t>³</t>
    </r>
  </si>
  <si>
    <t>Ha.</t>
  </si>
  <si>
    <t>Volumen/ Rodal</t>
  </si>
  <si>
    <t>No. De Parcela</t>
  </si>
  <si>
    <t>Volumen Total</t>
  </si>
  <si>
    <t>Especie y Clase Diametrica</t>
  </si>
  <si>
    <t>ANALISIS ESTADISTICO</t>
  </si>
  <si>
    <t>AREA (Ha.)</t>
  </si>
  <si>
    <t>VALOR DE T</t>
  </si>
  <si>
    <t>No. PARCELAS</t>
  </si>
  <si>
    <t>PARCELA</t>
  </si>
  <si>
    <t>VOLUMEN/ha</t>
  </si>
  <si>
    <t>(VOLUMEN)²</t>
  </si>
  <si>
    <t>PARAMETRO</t>
  </si>
  <si>
    <t>RESULTADO</t>
  </si>
  <si>
    <t>MEDIA ARITMETICA</t>
  </si>
  <si>
    <t xml:space="preserve">VARIANZA </t>
  </si>
  <si>
    <t>DESVIACION ESTANDAR</t>
  </si>
  <si>
    <t>ERROR ESTANDAR</t>
  </si>
  <si>
    <t>ERROR DE MUESTREO</t>
  </si>
  <si>
    <t xml:space="preserve">LIMITE SUPERIOR </t>
  </si>
  <si>
    <t>LIMITE INFERIOR</t>
  </si>
  <si>
    <t>TOTAL</t>
  </si>
  <si>
    <t>10 - 19.9</t>
  </si>
  <si>
    <t>20 - 29.9</t>
  </si>
  <si>
    <t>Aliso</t>
  </si>
  <si>
    <t>Alnus sp.</t>
  </si>
  <si>
    <t>area</t>
  </si>
  <si>
    <t>ha.</t>
  </si>
  <si>
    <t>mts.</t>
  </si>
  <si>
    <t>Ciprés</t>
  </si>
  <si>
    <t>Chulube</t>
  </si>
  <si>
    <t>Cupresus lusitanica</t>
  </si>
  <si>
    <t>N. D</t>
  </si>
  <si>
    <t>Pinus psudostrobus</t>
  </si>
  <si>
    <t>30 - 39.9</t>
  </si>
  <si>
    <t>Pino triste</t>
  </si>
  <si>
    <t>40 - 49.9</t>
  </si>
  <si>
    <t>Rótulos de fila</t>
  </si>
  <si>
    <t>Arbutus xalapensis</t>
  </si>
  <si>
    <t>X</t>
  </si>
  <si>
    <t>Y</t>
  </si>
  <si>
    <t>Santiaga Gregorio</t>
  </si>
  <si>
    <t>AREA PARCELA</t>
  </si>
  <si>
    <t>AREA TOTAL</t>
  </si>
  <si>
    <t>FECHA</t>
  </si>
  <si>
    <t>PROPIETARIO</t>
  </si>
  <si>
    <t>BASE_DATOS</t>
  </si>
  <si>
    <t>AÑO</t>
  </si>
  <si>
    <t>MUNICIPIO</t>
  </si>
  <si>
    <t>DEPTO</t>
  </si>
  <si>
    <t>BD14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</si>
</sst>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\ &quot;m³&quot;"/>
  </numFmts>
  <fonts count="12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name val="Arial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000000"/>
      <name val="Arial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9" fontId="4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/>
    <xf numFmtId="2" fontId="0" fillId="0" borderId="0" xfId="0" applyNumberFormat="1"/>
    <xf numFmtId="2" fontId="0" fillId="0" borderId="0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" fontId="0" fillId="0" borderId="1" xfId="0" applyNumberFormat="1" applyBorder="1"/>
    <xf numFmtId="0" fontId="2" fillId="4" borderId="1" xfId="0" applyFont="1" applyFill="1" applyBorder="1" applyAlignment="1">
      <alignment horizontal="left"/>
    </xf>
    <xf numFmtId="1" fontId="2" fillId="4" borderId="1" xfId="0" applyNumberFormat="1" applyFont="1" applyFill="1" applyBorder="1"/>
    <xf numFmtId="0" fontId="2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1" fontId="2" fillId="5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2" fontId="0" fillId="3" borderId="1" xfId="0" applyNumberForma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wrapText="1"/>
    </xf>
    <xf numFmtId="1" fontId="0" fillId="5" borderId="1" xfId="0" applyNumberFormat="1" applyFill="1" applyBorder="1" applyAlignment="1">
      <alignment horizontal="center" wrapText="1"/>
    </xf>
    <xf numFmtId="2" fontId="0" fillId="5" borderId="1" xfId="0" applyNumberFormat="1" applyFill="1" applyBorder="1" applyAlignment="1">
      <alignment horizontal="center" wrapText="1"/>
    </xf>
    <xf numFmtId="2" fontId="2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/>
    </xf>
    <xf numFmtId="0" fontId="5" fillId="0" borderId="1" xfId="1" applyFont="1" applyBorder="1"/>
    <xf numFmtId="0" fontId="5" fillId="7" borderId="1" xfId="1" applyFont="1" applyFill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165" fontId="6" fillId="0" borderId="1" xfId="1" applyNumberFormat="1" applyFont="1" applyBorder="1" applyAlignment="1">
      <alignment horizontal="right"/>
    </xf>
    <xf numFmtId="164" fontId="6" fillId="0" borderId="1" xfId="1" applyNumberFormat="1" applyFont="1" applyBorder="1" applyAlignment="1">
      <alignment horizontal="right"/>
    </xf>
    <xf numFmtId="2" fontId="0" fillId="0" borderId="1" xfId="0" applyNumberFormat="1" applyFill="1" applyBorder="1" applyAlignment="1">
      <alignment horizontal="center" vertical="center"/>
    </xf>
    <xf numFmtId="10" fontId="6" fillId="8" borderId="1" xfId="2" applyNumberFormat="1" applyFont="1" applyFill="1" applyBorder="1" applyAlignment="1">
      <alignment horizontal="right"/>
    </xf>
    <xf numFmtId="164" fontId="6" fillId="0" borderId="1" xfId="1" applyNumberFormat="1" applyFont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2" xfId="0" applyBorder="1" applyAlignment="1">
      <alignment horizontal="left"/>
    </xf>
    <xf numFmtId="2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6" borderId="2" xfId="0" applyFill="1" applyBorder="1" applyAlignment="1">
      <alignment horizontal="center" wrapText="1"/>
    </xf>
    <xf numFmtId="2" fontId="0" fillId="5" borderId="2" xfId="0" applyNumberFormat="1" applyFill="1" applyBorder="1" applyAlignment="1">
      <alignment horizontal="center" wrapText="1"/>
    </xf>
    <xf numFmtId="0" fontId="0" fillId="5" borderId="2" xfId="0" applyFill="1" applyBorder="1" applyAlignment="1">
      <alignment horizontal="center" wrapText="1"/>
    </xf>
    <xf numFmtId="0" fontId="0" fillId="5" borderId="2" xfId="0" applyFill="1" applyBorder="1" applyAlignment="1">
      <alignment horizontal="left"/>
    </xf>
    <xf numFmtId="0" fontId="0" fillId="3" borderId="0" xfId="0" applyFill="1" applyBorder="1"/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5" fillId="0" borderId="1" xfId="1" applyFont="1" applyBorder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Border="1"/>
    <xf numFmtId="2" fontId="0" fillId="0" borderId="0" xfId="0" applyNumberFormat="1" applyBorder="1"/>
    <xf numFmtId="0" fontId="7" fillId="9" borderId="0" xfId="0" applyFont="1" applyFill="1" applyBorder="1"/>
    <xf numFmtId="0" fontId="0" fillId="11" borderId="0" xfId="0" applyFill="1" applyBorder="1"/>
    <xf numFmtId="0" fontId="0" fillId="10" borderId="0" xfId="0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 vertical="center"/>
    </xf>
    <xf numFmtId="1" fontId="0" fillId="3" borderId="1" xfId="0" applyNumberFormat="1" applyFont="1" applyFill="1" applyBorder="1" applyAlignment="1">
      <alignment horizontal="center" wrapText="1"/>
    </xf>
    <xf numFmtId="2" fontId="0" fillId="5" borderId="2" xfId="0" applyNumberFormat="1" applyFill="1" applyBorder="1" applyAlignment="1">
      <alignment horizontal="center"/>
    </xf>
    <xf numFmtId="2" fontId="2" fillId="4" borderId="1" xfId="0" applyNumberFormat="1" applyFont="1" applyFill="1" applyBorder="1"/>
    <xf numFmtId="2" fontId="2" fillId="4" borderId="1" xfId="0" applyNumberFormat="1" applyFont="1" applyFill="1" applyBorder="1" applyAlignment="1">
      <alignment horizontal="center"/>
    </xf>
    <xf numFmtId="2" fontId="0" fillId="5" borderId="1" xfId="0" applyNumberFormat="1" applyFill="1" applyBorder="1" applyAlignment="1">
      <alignment horizontal="center" vertical="center" wrapText="1"/>
    </xf>
    <xf numFmtId="0" fontId="8" fillId="0" borderId="0" xfId="0" applyFont="1" applyBorder="1"/>
    <xf numFmtId="2" fontId="2" fillId="5" borderId="1" xfId="0" applyNumberFormat="1" applyFont="1" applyFill="1" applyBorder="1" applyAlignment="1">
      <alignment horizontal="center" vertical="center" wrapText="1"/>
    </xf>
    <xf numFmtId="2" fontId="0" fillId="3" borderId="1" xfId="0" applyNumberFormat="1" applyFont="1" applyFill="1" applyBorder="1" applyAlignment="1">
      <alignment horizontal="center" vertical="center"/>
    </xf>
    <xf numFmtId="0" fontId="9" fillId="0" borderId="0" xfId="0" applyFont="1"/>
    <xf numFmtId="0" fontId="0" fillId="0" borderId="1" xfId="0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0" fillId="0" borderId="0" xfId="0" applyFill="1" applyBorder="1"/>
    <xf numFmtId="17" fontId="0" fillId="0" borderId="0" xfId="0" applyNumberFormat="1"/>
    <xf numFmtId="0" fontId="10" fillId="12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center"/>
    </xf>
  </cellXfs>
  <cellStyles count="3">
    <cellStyle name="Normal" xfId="0" builtinId="0"/>
    <cellStyle name="Normal 2" xfId="1"/>
    <cellStyle name="Porcentaje 2" xfId="2"/>
  </cellStyles>
  <dxfs count="40">
    <dxf>
      <border>
        <bottom style="thin">
          <color indexed="64"/>
        </bottom>
        <horizontal style="thin">
          <color indexed="64"/>
        </horizontal>
      </border>
    </dxf>
    <dxf>
      <alignment horizontal="center" readingOrder="0"/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numFmt numFmtId="2" formatCode="0.00"/>
    </dxf>
    <dxf>
      <numFmt numFmtId="1" formatCode="0"/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final" refreshedDate="41757.630233217591" createdVersion="3" refreshedVersion="3" minRefreshableVersion="3" recordCount="31">
  <cacheSource type="worksheet">
    <worksheetSource ref="A1:L32" sheet="base de datos"/>
  </cacheSource>
  <cacheFields count="12">
    <cacheField name="Parcela" numFmtId="0">
      <sharedItems containsSemiMixedTypes="0" containsString="0" containsNumber="1" containsInteger="1" minValue="1" maxValue="6" count="6">
        <n v="1"/>
        <n v="2"/>
        <n v="3"/>
        <n v="5" u="1"/>
        <n v="6" u="1"/>
        <n v="4" u="1"/>
      </sharedItems>
    </cacheField>
    <cacheField name="No. Arbol" numFmtId="0">
      <sharedItems containsSemiMixedTypes="0" containsString="0" containsNumber="1" containsInteger="1" minValue="1" maxValue="14"/>
    </cacheField>
    <cacheField name="Nombre común" numFmtId="0">
      <sharedItems count="5">
        <s v="Aliso"/>
        <s v="Chulube"/>
        <s v="Ciprés"/>
        <s v="Pino triste"/>
        <s v="Pino blanco" u="1"/>
      </sharedItems>
    </cacheField>
    <cacheField name="Especie" numFmtId="0">
      <sharedItems count="5">
        <s v="Alnus sp."/>
        <s v="N. D"/>
        <s v="Cupresus lusitanica"/>
        <s v="Pinus psudostrobus"/>
        <s v="Pinus ayacahuite" u="1"/>
      </sharedItems>
    </cacheField>
    <cacheField name="Clase diámetrica" numFmtId="0">
      <sharedItems count="4">
        <s v="40 - 49.9"/>
        <s v="30 - 39.9"/>
        <s v="10 - 19.9"/>
        <s v="20 - 29.9"/>
      </sharedItems>
    </cacheField>
    <cacheField name="DAP (cm)" numFmtId="0">
      <sharedItems containsSemiMixedTypes="0" containsString="0" containsNumber="1" containsInteger="1" minValue="12" maxValue="48"/>
    </cacheField>
    <cacheField name="Altura (m)" numFmtId="0">
      <sharedItems containsSemiMixedTypes="0" containsString="0" containsNumber="1" containsInteger="1" minValue="6" maxValue="18"/>
    </cacheField>
    <cacheField name="Area Basal (m2)" numFmtId="2">
      <sharedItems containsSemiMixedTypes="0" containsString="0" containsNumber="1" minValue="1.130976E-2" maxValue="0.18095616"/>
    </cacheField>
    <cacheField name="AB/Ha." numFmtId="2">
      <sharedItems containsSemiMixedTypes="0" containsString="0" containsNumber="1" minValue="7.5398400000000004E-2" maxValue="1.2063744000000001"/>
    </cacheField>
    <cacheField name="Volumen (m3)" numFmtId="2">
      <sharedItems containsSemiMixedTypes="0" containsString="0" containsNumber="1" minValue="7.0135456200000001E-2" maxValue="1.9296100980000002"/>
    </cacheField>
    <cacheField name="Volumen/Ha." numFmtId="2">
      <sharedItems containsSemiMixedTypes="0" containsString="0" containsNumber="1" minValue="0.46756970800000003" maxValue="12.864067320000002"/>
    </cacheField>
    <cacheField name="Densidad/Ha." numFmtId="2">
      <sharedItems containsSemiMixedTypes="0" containsString="0" containsNumber="1" minValue="6.666666666666667" maxValue="6.6666666666666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n v="1"/>
    <x v="0"/>
    <x v="0"/>
    <x v="0"/>
    <n v="48"/>
    <n v="17"/>
    <n v="0.18095616"/>
    <n v="1.2063744000000001"/>
    <n v="1.9296100980000002"/>
    <n v="12.864067320000002"/>
    <n v="6.666666666666667"/>
  </r>
  <r>
    <x v="0"/>
    <n v="2"/>
    <x v="1"/>
    <x v="1"/>
    <x v="1"/>
    <n v="34"/>
    <n v="14"/>
    <n v="9.079224000000001E-2"/>
    <n v="0.60528160000000009"/>
    <n v="0.86087708200000013"/>
    <n v="5.7391805466666677"/>
    <n v="6.666666666666667"/>
  </r>
  <r>
    <x v="0"/>
    <n v="3"/>
    <x v="2"/>
    <x v="2"/>
    <x v="2"/>
    <n v="14"/>
    <n v="10"/>
    <n v="1.5393840000000002E-2"/>
    <n v="0.10262560000000003"/>
    <n v="7.0135456200000001E-2"/>
    <n v="0.46756970800000003"/>
    <n v="6.666666666666667"/>
  </r>
  <r>
    <x v="0"/>
    <n v="4"/>
    <x v="0"/>
    <x v="0"/>
    <x v="3"/>
    <n v="20"/>
    <n v="13"/>
    <n v="3.1416000000000006E-2"/>
    <n v="0.20944000000000004"/>
    <n v="0.35013206600000002"/>
    <n v="2.3342137733333335"/>
    <n v="6.666666666666667"/>
  </r>
  <r>
    <x v="0"/>
    <n v="5"/>
    <x v="3"/>
    <x v="3"/>
    <x v="1"/>
    <n v="36"/>
    <n v="17"/>
    <n v="0.10178783999999999"/>
    <n v="0.67858560000000001"/>
    <n v="0.63531094319999992"/>
    <n v="4.2354062880000001"/>
    <n v="6.666666666666667"/>
  </r>
  <r>
    <x v="0"/>
    <n v="6"/>
    <x v="3"/>
    <x v="3"/>
    <x v="0"/>
    <n v="40"/>
    <n v="17"/>
    <n v="0.12566400000000003"/>
    <n v="0.83776000000000017"/>
    <n v="0.78314261679999997"/>
    <n v="5.2209507786666665"/>
    <n v="6.666666666666667"/>
  </r>
  <r>
    <x v="0"/>
    <n v="7"/>
    <x v="0"/>
    <x v="0"/>
    <x v="2"/>
    <n v="13"/>
    <n v="10"/>
    <n v="1.3273260000000002E-2"/>
    <n v="8.8488400000000023E-2"/>
    <n v="0.186920576"/>
    <n v="1.2461371733333335"/>
    <n v="6.666666666666667"/>
  </r>
  <r>
    <x v="0"/>
    <n v="8"/>
    <x v="2"/>
    <x v="2"/>
    <x v="2"/>
    <n v="16"/>
    <n v="10"/>
    <n v="2.0106240000000001E-2"/>
    <n v="0.13404160000000001"/>
    <n v="8.748349620000001E-2"/>
    <n v="0.58322330800000011"/>
    <n v="6.666666666666667"/>
  </r>
  <r>
    <x v="0"/>
    <n v="9"/>
    <x v="2"/>
    <x v="2"/>
    <x v="2"/>
    <n v="17"/>
    <n v="10"/>
    <n v="2.2698060000000003E-2"/>
    <n v="0.15132040000000002"/>
    <n v="9.7024918200000004E-2"/>
    <n v="0.6468327880000001"/>
    <n v="6.666666666666667"/>
  </r>
  <r>
    <x v="1"/>
    <n v="1"/>
    <x v="0"/>
    <x v="0"/>
    <x v="3"/>
    <n v="22"/>
    <n v="6"/>
    <n v="3.8013359999999996E-2"/>
    <n v="0.25342239999999999"/>
    <n v="0.24337036200000001"/>
    <n v="1.6224690800000001"/>
    <n v="6.666666666666667"/>
  </r>
  <r>
    <x v="1"/>
    <n v="2"/>
    <x v="1"/>
    <x v="1"/>
    <x v="3"/>
    <n v="24"/>
    <n v="10"/>
    <n v="4.5239040000000001E-2"/>
    <n v="0.30159360000000002"/>
    <n v="0.37617150599999999"/>
    <n v="2.5078100399999999"/>
    <n v="6.666666666666667"/>
  </r>
  <r>
    <x v="1"/>
    <n v="3"/>
    <x v="1"/>
    <x v="1"/>
    <x v="2"/>
    <n v="18"/>
    <n v="8"/>
    <n v="2.5446959999999998E-2"/>
    <n v="0.1696464"/>
    <n v="0.22886267400000002"/>
    <n v="1.5257511600000002"/>
    <n v="6.666666666666667"/>
  </r>
  <r>
    <x v="1"/>
    <n v="4"/>
    <x v="1"/>
    <x v="1"/>
    <x v="1"/>
    <n v="31"/>
    <n v="12"/>
    <n v="7.5476940000000006E-2"/>
    <n v="0.50317960000000006"/>
    <n v="0.64456373400000011"/>
    <n v="4.297091560000001"/>
    <n v="6.666666666666667"/>
  </r>
  <r>
    <x v="1"/>
    <n v="5"/>
    <x v="1"/>
    <x v="1"/>
    <x v="2"/>
    <n v="19"/>
    <n v="9"/>
    <n v="2.835294E-2"/>
    <n v="0.18901960000000001"/>
    <n v="0.25941251700000001"/>
    <n v="1.7294167800000002"/>
    <n v="6.666666666666667"/>
  </r>
  <r>
    <x v="1"/>
    <n v="6"/>
    <x v="1"/>
    <x v="1"/>
    <x v="2"/>
    <n v="18"/>
    <n v="9"/>
    <n v="2.5446959999999998E-2"/>
    <n v="0.1696464"/>
    <n v="0.24392835000000002"/>
    <n v="1.6261890000000001"/>
    <n v="6.666666666666667"/>
  </r>
  <r>
    <x v="1"/>
    <n v="7"/>
    <x v="0"/>
    <x v="0"/>
    <x v="2"/>
    <n v="17"/>
    <n v="12"/>
    <n v="2.2698060000000003E-2"/>
    <n v="0.15132040000000002"/>
    <n v="0.269595798"/>
    <n v="1.79730532"/>
    <n v="6.666666666666667"/>
  </r>
  <r>
    <x v="1"/>
    <n v="8"/>
    <x v="1"/>
    <x v="1"/>
    <x v="1"/>
    <n v="31"/>
    <n v="16"/>
    <n v="7.5476940000000006E-2"/>
    <n v="0.50317960000000006"/>
    <n v="0.8233058900000001"/>
    <n v="5.4887059333333346"/>
    <n v="6.666666666666667"/>
  </r>
  <r>
    <x v="1"/>
    <n v="9"/>
    <x v="1"/>
    <x v="1"/>
    <x v="3"/>
    <n v="21"/>
    <n v="12"/>
    <n v="3.4636139999999996E-2"/>
    <n v="0.23090759999999999"/>
    <n v="0.35440997400000002"/>
    <n v="2.3627331600000003"/>
    <n v="6.666666666666667"/>
  </r>
  <r>
    <x v="1"/>
    <n v="10"/>
    <x v="1"/>
    <x v="1"/>
    <x v="2"/>
    <n v="14"/>
    <n v="8"/>
    <n v="1.5393840000000002E-2"/>
    <n v="0.10262560000000003"/>
    <n v="0.18124769800000001"/>
    <n v="1.2083179866666669"/>
    <n v="6.666666666666667"/>
  </r>
  <r>
    <x v="1"/>
    <n v="11"/>
    <x v="1"/>
    <x v="1"/>
    <x v="2"/>
    <n v="14"/>
    <n v="8"/>
    <n v="1.5393840000000002E-2"/>
    <n v="0.10262560000000003"/>
    <n v="0.18124769800000001"/>
    <n v="1.2083179866666669"/>
    <n v="6.666666666666667"/>
  </r>
  <r>
    <x v="1"/>
    <n v="12"/>
    <x v="1"/>
    <x v="1"/>
    <x v="3"/>
    <n v="24"/>
    <n v="15"/>
    <n v="4.5239040000000001E-2"/>
    <n v="0.30159360000000002"/>
    <n v="0.51008862600000004"/>
    <n v="3.4005908400000004"/>
    <n v="6.666666666666667"/>
  </r>
  <r>
    <x v="1"/>
    <n v="13"/>
    <x v="3"/>
    <x v="3"/>
    <x v="2"/>
    <n v="18"/>
    <n v="8"/>
    <n v="2.5446959999999998E-2"/>
    <n v="0.1696464"/>
    <n v="7.92258552E-2"/>
    <n v="0.528172368"/>
    <n v="6.666666666666667"/>
  </r>
  <r>
    <x v="1"/>
    <n v="14"/>
    <x v="1"/>
    <x v="1"/>
    <x v="1"/>
    <n v="31"/>
    <n v="14"/>
    <n v="7.5476940000000006E-2"/>
    <n v="0.50317960000000006"/>
    <n v="0.7339348120000001"/>
    <n v="4.8928987466666678"/>
    <n v="6.666666666666667"/>
  </r>
  <r>
    <x v="2"/>
    <n v="1"/>
    <x v="1"/>
    <x v="1"/>
    <x v="0"/>
    <n v="40"/>
    <n v="18"/>
    <n v="0.12566400000000003"/>
    <n v="0.83776000000000017"/>
    <n v="1.4475084659999999"/>
    <n v="9.6500564400000002"/>
    <n v="6.666666666666667"/>
  </r>
  <r>
    <x v="2"/>
    <n v="2"/>
    <x v="1"/>
    <x v="1"/>
    <x v="2"/>
    <n v="12"/>
    <n v="10"/>
    <n v="1.130976E-2"/>
    <n v="7.5398400000000004E-2"/>
    <n v="0.17529582599999999"/>
    <n v="1.1686388400000001"/>
    <n v="6.666666666666667"/>
  </r>
  <r>
    <x v="2"/>
    <n v="3"/>
    <x v="1"/>
    <x v="1"/>
    <x v="3"/>
    <n v="22"/>
    <n v="15"/>
    <n v="3.8013359999999996E-2"/>
    <n v="0.25342239999999999"/>
    <n v="0.44592000600000004"/>
    <n v="2.9728000400000005"/>
    <n v="6.666666666666667"/>
  </r>
  <r>
    <x v="2"/>
    <n v="4"/>
    <x v="1"/>
    <x v="1"/>
    <x v="1"/>
    <n v="32"/>
    <n v="15"/>
    <n v="8.0424960000000004E-2"/>
    <n v="0.53616640000000004"/>
    <n v="0.82256190600000012"/>
    <n v="5.4837460400000007"/>
    <n v="6.666666666666667"/>
  </r>
  <r>
    <x v="2"/>
    <n v="5"/>
    <x v="1"/>
    <x v="1"/>
    <x v="1"/>
    <n v="30"/>
    <n v="16"/>
    <n v="7.0685999999999999E-2"/>
    <n v="0.47123999999999999"/>
    <n v="0.77792286600000005"/>
    <n v="5.1861524400000008"/>
    <n v="6.666666666666667"/>
  </r>
  <r>
    <x v="2"/>
    <n v="6"/>
    <x v="1"/>
    <x v="1"/>
    <x v="1"/>
    <n v="31"/>
    <n v="17"/>
    <n v="7.5476940000000006E-2"/>
    <n v="0.50317960000000006"/>
    <n v="0.86799142900000015"/>
    <n v="5.7866095266666679"/>
    <n v="6.666666666666667"/>
  </r>
  <r>
    <x v="2"/>
    <n v="7"/>
    <x v="1"/>
    <x v="1"/>
    <x v="1"/>
    <n v="30"/>
    <n v="14"/>
    <n v="7.0685999999999999E-2"/>
    <n v="0.47123999999999999"/>
    <n v="0.6942246660000001"/>
    <n v="4.6281644400000008"/>
    <n v="6.666666666666667"/>
  </r>
  <r>
    <x v="2"/>
    <n v="8"/>
    <x v="3"/>
    <x v="3"/>
    <x v="1"/>
    <n v="30"/>
    <n v="17"/>
    <n v="7.0685999999999999E-2"/>
    <n v="0.47123999999999999"/>
    <n v="0.44274073679999998"/>
    <n v="2.9516049120000001"/>
    <n v="6.6666666666666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2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B12" firstHeaderRow="1" firstDataRow="1" firstDataCol="1"/>
  <pivotFields count="12">
    <pivotField showAll="0"/>
    <pivotField dataField="1" showAll="0"/>
    <pivotField axis="axisRow" showAll="0">
      <items count="6">
        <item x="0"/>
        <item x="2"/>
        <item x="1"/>
        <item m="1" x="4"/>
        <item x="3"/>
        <item t="default"/>
      </items>
    </pivotField>
    <pivotField axis="axisRow" showAll="0">
      <items count="6">
        <item x="0"/>
        <item x="2"/>
        <item x="1"/>
        <item m="1" x="4"/>
        <item x="3"/>
        <item t="default"/>
      </items>
    </pivotField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numFmtId="2" showAll="0"/>
  </pivotFields>
  <rowFields count="2">
    <field x="3"/>
    <field x="2"/>
  </rowFields>
  <rowItems count="9">
    <i>
      <x/>
    </i>
    <i r="1">
      <x/>
    </i>
    <i>
      <x v="1"/>
    </i>
    <i r="1">
      <x v="1"/>
    </i>
    <i>
      <x v="2"/>
    </i>
    <i r="1">
      <x v="2"/>
    </i>
    <i>
      <x v="4"/>
    </i>
    <i r="1">
      <x v="4"/>
    </i>
    <i t="grand">
      <x/>
    </i>
  </rowItems>
  <colItems count="1">
    <i/>
  </colItems>
  <dataFields count="1">
    <dataField name="Cuenta de No. Arbol" fld="1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2" cacheId="2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F9" firstHeaderRow="1" firstDataRow="2" firstDataCol="1"/>
  <pivotFields count="12">
    <pivotField showAll="0"/>
    <pivotField showAll="0"/>
    <pivotField showAll="0"/>
    <pivotField axis="axisRow" showAll="0">
      <items count="6">
        <item x="0"/>
        <item x="2"/>
        <item x="1"/>
        <item m="1" x="4"/>
        <item x="3"/>
        <item t="default"/>
      </items>
    </pivotField>
    <pivotField showAll="0"/>
    <pivotField dataField="1" showAll="0"/>
    <pivotField dataField="1" showAll="0"/>
    <pivotField numFmtId="2" showAll="0"/>
    <pivotField dataField="1" numFmtId="2" showAll="0"/>
    <pivotField numFmtId="2" showAll="0"/>
    <pivotField dataField="1" numFmtId="2" showAll="0"/>
    <pivotField dataField="1" numFmtId="2" showAll="0"/>
  </pivotFields>
  <rowFields count="1">
    <field x="3"/>
  </rowFields>
  <rowItems count="5">
    <i>
      <x/>
    </i>
    <i>
      <x v="1"/>
    </i>
    <i>
      <x v="2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ensidad/Ha." fld="11" baseField="0" baseItem="0" numFmtId="1"/>
    <dataField name="Promedio de DAP (cm)" fld="5" subtotal="average" baseField="0" baseItem="0" numFmtId="2"/>
    <dataField name="Promedio de Altura (m)" fld="6" subtotal="average" baseField="0" baseItem="0" numFmtId="2"/>
    <dataField name="Suma de AB/Ha." fld="8" baseField="0" baseItem="0" numFmtId="2"/>
    <dataField name="Suma de Volumen/Ha." fld="10" baseField="0" baseItem="0" numFmtId="2"/>
  </dataFields>
  <formats count="2">
    <format dxfId="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8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3" cacheId="2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No. De Parcela">
  <location ref="A3:F8" firstHeaderRow="1" firstDataRow="2" firstDataCol="1"/>
  <pivotFields count="12">
    <pivotField axis="axisRow" showAll="0">
      <items count="7">
        <item x="0"/>
        <item x="1"/>
        <item x="2"/>
        <item m="1" x="5"/>
        <item m="1" x="3"/>
        <item m="1" x="4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numFmtId="2" showAll="0"/>
    <pivotField dataField="1" numFmtId="2" showAll="0"/>
    <pivotField numFmtId="2" showAll="0"/>
    <pivotField dataField="1" numFmtId="2" showAll="0"/>
    <pivotField dataField="1" numFmtId="2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ensidad/Ha." fld="11" baseField="0" baseItem="0" numFmtId="1"/>
    <dataField name="Promedio de DAP (cm)" fld="5" subtotal="average" baseField="0" baseItem="0" numFmtId="2"/>
    <dataField name="Promedio de Altura (m)" fld="6" subtotal="average" baseField="0" baseItem="0" numFmtId="2"/>
    <dataField name="Suma de AB/Ha." fld="8" baseField="0" baseItem="0" numFmtId="2"/>
    <dataField name="Suma de Volumen/Ha." fld="10" baseField="0" baseItem="0" numFmtId="2"/>
  </dataFields>
  <formats count="21">
    <format dxfId="3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35">
      <pivotArea outline="0" collapsedLevelsAreSubtotals="1" fieldPosition="0"/>
    </format>
    <format dxfId="34">
      <pivotArea field="0" type="button" dataOnly="0" labelOnly="1" outline="0" axis="axisRow" fieldPosition="0"/>
    </format>
    <format dxfId="33">
      <pivotArea dataOnly="0" labelOnly="1" fieldPosition="0">
        <references count="1">
          <reference field="0" count="0"/>
        </references>
      </pivotArea>
    </format>
    <format dxfId="32">
      <pivotArea dataOnly="0" labelOnly="1" grandRow="1" outline="0" fieldPosition="0"/>
    </format>
    <format dxfId="3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0">
      <pivotArea outline="0" collapsedLevelsAreSubtotals="1" fieldPosition="0"/>
    </format>
    <format dxfId="29">
      <pivotArea field="0" type="button" dataOnly="0" labelOnly="1" outline="0" axis="axisRow" fieldPosition="0"/>
    </format>
    <format dxfId="28">
      <pivotArea dataOnly="0" labelOnly="1" fieldPosition="0">
        <references count="1">
          <reference field="0" count="0"/>
        </references>
      </pivotArea>
    </format>
    <format dxfId="27">
      <pivotArea dataOnly="0" labelOnly="1" grandRow="1" outline="0" fieldPosition="0"/>
    </format>
    <format dxfId="2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5">
      <pivotArea outline="0" collapsedLevelsAreSubtotals="1" fieldPosition="0"/>
    </format>
    <format dxfId="24">
      <pivotArea field="0" type="button" dataOnly="0" labelOnly="1" outline="0" axis="axisRow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grandRow="1" outline="0" fieldPosition="0"/>
    </format>
    <format dxfId="2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0">
      <pivotArea field="0" type="button" dataOnly="0" labelOnly="1" outline="0" axis="axisRow" fieldPosition="0"/>
    </format>
    <format dxfId="1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8">
      <pivotArea grandRow="1" outline="0" collapsedLevelsAreSubtotals="1" fieldPosition="0"/>
    </format>
    <format dxfId="17">
      <pivotArea dataOnly="0" labelOnly="1" grandRow="1" outline="0" fieldPosition="0"/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4" cacheId="2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Especie y Clase Diametrica">
  <location ref="A3:F20" firstHeaderRow="1" firstDataRow="2" firstDataCol="1"/>
  <pivotFields count="12">
    <pivotField showAll="0"/>
    <pivotField showAll="0"/>
    <pivotField showAll="0"/>
    <pivotField axis="axisRow" showAll="0">
      <items count="6">
        <item x="0"/>
        <item x="2"/>
        <item x="1"/>
        <item m="1" x="4"/>
        <item x="3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dataField="1" showAll="0"/>
    <pivotField dataField="1" showAll="0"/>
    <pivotField numFmtId="2" showAll="0"/>
    <pivotField dataField="1" numFmtId="2" showAll="0"/>
    <pivotField numFmtId="2" showAll="0"/>
    <pivotField dataField="1" numFmtId="2" showAll="0"/>
    <pivotField dataField="1" numFmtId="2" showAll="0"/>
  </pivotFields>
  <rowFields count="2">
    <field x="3"/>
    <field x="4"/>
  </rowFields>
  <rowItems count="16">
    <i>
      <x/>
    </i>
    <i r="1">
      <x/>
    </i>
    <i r="1">
      <x v="1"/>
    </i>
    <i r="1">
      <x v="3"/>
    </i>
    <i>
      <x v="1"/>
    </i>
    <i r="1">
      <x/>
    </i>
    <i>
      <x v="2"/>
    </i>
    <i r="1">
      <x/>
    </i>
    <i r="1">
      <x v="1"/>
    </i>
    <i r="1">
      <x v="2"/>
    </i>
    <i r="1">
      <x v="3"/>
    </i>
    <i>
      <x v="4"/>
    </i>
    <i r="1">
      <x/>
    </i>
    <i r="1">
      <x v="2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ensidad/Ha." fld="11" baseField="0" baseItem="0" numFmtId="1"/>
    <dataField name="Promedio de DAP (cm)" fld="5" subtotal="average" baseField="0" baseItem="0" numFmtId="2"/>
    <dataField name="Promedio de Altura (m)" fld="6" subtotal="average" baseField="0" baseItem="0" numFmtId="2"/>
    <dataField name="Suma de AB/Ha." fld="8" baseField="0" baseItem="0" numFmtId="2"/>
    <dataField name="Suma de Volumen/Ha." fld="10" baseField="0" baseItem="0" numFmtId="2"/>
  </dataFields>
  <formats count="17">
    <format dxfId="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14">
      <pivotArea field="3" type="button" dataOnly="0" labelOnly="1" outline="0" axis="axisRow" fieldPosition="0"/>
    </format>
    <format dxfId="1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2">
      <pivotArea outline="0" collapsedLevelsAreSubtotals="1" fieldPosition="0"/>
    </format>
    <format dxfId="11">
      <pivotArea field="3" type="button" dataOnly="0" labelOnly="1" outline="0" axis="axisRow" fieldPosition="0"/>
    </format>
    <format dxfId="10">
      <pivotArea dataOnly="0" labelOnly="1" fieldPosition="0">
        <references count="1">
          <reference field="3" count="0"/>
        </references>
      </pivotArea>
    </format>
    <format dxfId="9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7">
      <pivotArea field="3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">
      <pivotArea field="3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outline="0" collapsedLevelsAreSubtotals="1" fieldPosition="0"/>
    </format>
    <format dxfId="0">
      <pivotArea field="3" grandRow="1" outline="0" collapsedLevelsAreSubtotals="1" axis="axisRow" fieldPosition="0">
        <references count="1">
          <reference field="4294967294" count="2" selected="0"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zoomScale="78" zoomScaleNormal="78" workbookViewId="0">
      <selection activeCell="O4" sqref="O4"/>
    </sheetView>
  </sheetViews>
  <sheetFormatPr baseColWidth="10" defaultColWidth="11.42578125" defaultRowHeight="15" x14ac:dyDescent="0.25"/>
  <cols>
    <col min="1" max="1" width="9.140625" customWidth="1"/>
    <col min="2" max="2" width="9.5703125" customWidth="1"/>
    <col min="3" max="3" width="13" customWidth="1"/>
    <col min="4" max="4" width="24.140625" customWidth="1"/>
  </cols>
  <sheetData>
    <row r="1" spans="1:15" ht="24" x14ac:dyDescent="0.25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56" t="s">
        <v>10</v>
      </c>
      <c r="L1" s="56" t="s">
        <v>11</v>
      </c>
      <c r="M1" s="56" t="s">
        <v>55</v>
      </c>
      <c r="N1" s="57"/>
      <c r="O1" s="57"/>
    </row>
    <row r="2" spans="1:15" x14ac:dyDescent="0.25">
      <c r="A2" s="57">
        <v>1</v>
      </c>
      <c r="B2" s="57">
        <v>1</v>
      </c>
      <c r="C2" s="57" t="s">
        <v>53</v>
      </c>
      <c r="D2" s="57" t="s">
        <v>54</v>
      </c>
      <c r="E2" s="57" t="s">
        <v>65</v>
      </c>
      <c r="F2" s="57">
        <v>48</v>
      </c>
      <c r="G2" s="57">
        <v>17</v>
      </c>
      <c r="H2" s="58">
        <f t="shared" ref="H2:H3" si="0">0.7854*(F2/100)^2</f>
        <v>0.18095616</v>
      </c>
      <c r="I2" s="3">
        <f>H2*1/$O$3</f>
        <v>1.2063744000000001</v>
      </c>
      <c r="J2" s="58">
        <f>(0.108337266+0.000046499*(F2^2*G2))</f>
        <v>1.9296100980000002</v>
      </c>
      <c r="K2" s="3">
        <f>J2/$O$3</f>
        <v>12.864067320000002</v>
      </c>
      <c r="L2" s="3">
        <f>1*1/$O$3</f>
        <v>6.666666666666667</v>
      </c>
      <c r="M2" s="57"/>
      <c r="N2" s="59" t="s">
        <v>57</v>
      </c>
      <c r="O2" s="59" t="s">
        <v>56</v>
      </c>
    </row>
    <row r="3" spans="1:15" x14ac:dyDescent="0.25">
      <c r="A3" s="57">
        <v>1</v>
      </c>
      <c r="B3" s="57">
        <v>2</v>
      </c>
      <c r="C3" s="57" t="s">
        <v>59</v>
      </c>
      <c r="D3" s="75" t="s">
        <v>67</v>
      </c>
      <c r="E3" s="57" t="s">
        <v>63</v>
      </c>
      <c r="F3" s="57">
        <v>34</v>
      </c>
      <c r="G3" s="57">
        <v>14</v>
      </c>
      <c r="H3" s="58">
        <f t="shared" si="0"/>
        <v>9.079224000000001E-2</v>
      </c>
      <c r="I3" s="3">
        <f t="shared" ref="I3:I32" si="1">H3*1/$O$3</f>
        <v>0.60528160000000009</v>
      </c>
      <c r="J3" s="58">
        <f t="shared" ref="J3" si="2">(0.108337266+0.000046499*(F3^2*G3))</f>
        <v>0.86087708200000013</v>
      </c>
      <c r="K3" s="3">
        <f t="shared" ref="K3:K32" si="3">J3/$O$3</f>
        <v>5.7391805466666677</v>
      </c>
      <c r="L3" s="3">
        <f t="shared" ref="L3:L32" si="4">1*1/$O$3</f>
        <v>6.666666666666667</v>
      </c>
      <c r="M3" s="57"/>
      <c r="N3" s="60">
        <v>1500</v>
      </c>
      <c r="O3" s="61">
        <f>N3/10000</f>
        <v>0.15</v>
      </c>
    </row>
    <row r="4" spans="1:15" x14ac:dyDescent="0.25">
      <c r="A4" s="57">
        <v>1</v>
      </c>
      <c r="B4" s="57">
        <v>3</v>
      </c>
      <c r="C4" s="57" t="s">
        <v>58</v>
      </c>
      <c r="D4" s="57" t="s">
        <v>60</v>
      </c>
      <c r="E4" s="57" t="s">
        <v>51</v>
      </c>
      <c r="F4" s="57">
        <v>14</v>
      </c>
      <c r="G4" s="57">
        <v>10</v>
      </c>
      <c r="H4" s="58">
        <f t="shared" ref="H4:H32" si="5">0.7854*(F4/100)^2</f>
        <v>1.5393840000000002E-2</v>
      </c>
      <c r="I4" s="3">
        <f t="shared" si="1"/>
        <v>0.10262560000000003</v>
      </c>
      <c r="J4" s="58">
        <f>(0.0134651922+0.0000289134*(F4^2*G4))</f>
        <v>7.0135456200000001E-2</v>
      </c>
      <c r="K4" s="3">
        <f t="shared" si="3"/>
        <v>0.46756970800000003</v>
      </c>
      <c r="L4" s="3">
        <f t="shared" si="4"/>
        <v>6.666666666666667</v>
      </c>
      <c r="M4" s="57"/>
      <c r="N4" s="57">
        <v>500</v>
      </c>
      <c r="O4" s="57"/>
    </row>
    <row r="5" spans="1:15" x14ac:dyDescent="0.25">
      <c r="A5" s="57">
        <v>1</v>
      </c>
      <c r="B5" s="57">
        <v>4</v>
      </c>
      <c r="C5" s="57" t="s">
        <v>53</v>
      </c>
      <c r="D5" s="57" t="s">
        <v>54</v>
      </c>
      <c r="E5" s="57" t="s">
        <v>52</v>
      </c>
      <c r="F5" s="57">
        <v>20</v>
      </c>
      <c r="G5" s="57">
        <v>13</v>
      </c>
      <c r="H5" s="58">
        <f t="shared" si="5"/>
        <v>3.1416000000000006E-2</v>
      </c>
      <c r="I5" s="3">
        <f t="shared" si="1"/>
        <v>0.20944000000000004</v>
      </c>
      <c r="J5" s="58">
        <f>(0.108337266+0.000046499*(F5^2*G5))</f>
        <v>0.35013206600000002</v>
      </c>
      <c r="K5" s="3">
        <f t="shared" si="3"/>
        <v>2.3342137733333335</v>
      </c>
      <c r="L5" s="3">
        <f t="shared" si="4"/>
        <v>6.666666666666667</v>
      </c>
      <c r="M5" s="57"/>
      <c r="N5" s="57"/>
      <c r="O5" s="57"/>
    </row>
    <row r="6" spans="1:15" x14ac:dyDescent="0.25">
      <c r="A6" s="57">
        <v>1</v>
      </c>
      <c r="B6" s="57">
        <v>5</v>
      </c>
      <c r="C6" s="57" t="s">
        <v>64</v>
      </c>
      <c r="D6" s="57" t="s">
        <v>62</v>
      </c>
      <c r="E6" s="57" t="s">
        <v>63</v>
      </c>
      <c r="F6" s="57">
        <v>36</v>
      </c>
      <c r="G6" s="57">
        <v>17</v>
      </c>
      <c r="H6" s="58">
        <f t="shared" si="5"/>
        <v>0.10178783999999999</v>
      </c>
      <c r="I6" s="3">
        <f t="shared" si="1"/>
        <v>0.67858560000000001</v>
      </c>
      <c r="J6" s="58">
        <f>(0.0050811768+0.0000286052*(F6^2*G6))</f>
        <v>0.63531094319999992</v>
      </c>
      <c r="K6" s="3">
        <f t="shared" si="3"/>
        <v>4.2354062880000001</v>
      </c>
      <c r="L6" s="3">
        <f t="shared" si="4"/>
        <v>6.666666666666667</v>
      </c>
      <c r="M6" s="57"/>
      <c r="N6" s="9">
        <v>391904</v>
      </c>
      <c r="O6" s="9">
        <v>1724616</v>
      </c>
    </row>
    <row r="7" spans="1:15" x14ac:dyDescent="0.25">
      <c r="A7" s="57">
        <v>1</v>
      </c>
      <c r="B7" s="57">
        <v>6</v>
      </c>
      <c r="C7" s="57" t="s">
        <v>64</v>
      </c>
      <c r="D7" s="57" t="s">
        <v>62</v>
      </c>
      <c r="E7" s="57" t="s">
        <v>65</v>
      </c>
      <c r="F7" s="57">
        <v>40</v>
      </c>
      <c r="G7" s="57">
        <v>17</v>
      </c>
      <c r="H7" s="58">
        <f t="shared" si="5"/>
        <v>0.12566400000000003</v>
      </c>
      <c r="I7" s="3">
        <f t="shared" si="1"/>
        <v>0.83776000000000017</v>
      </c>
      <c r="J7" s="58">
        <f>(0.0050811768+0.0000286052*(F7^2*G7))</f>
        <v>0.78314261679999997</v>
      </c>
      <c r="K7" s="3">
        <f t="shared" si="3"/>
        <v>5.2209507786666665</v>
      </c>
      <c r="L7" s="3">
        <f t="shared" si="4"/>
        <v>6.666666666666667</v>
      </c>
      <c r="M7" s="57"/>
      <c r="N7" s="57"/>
      <c r="O7" s="57"/>
    </row>
    <row r="8" spans="1:15" x14ac:dyDescent="0.25">
      <c r="A8" s="57">
        <v>1</v>
      </c>
      <c r="B8" s="57">
        <v>7</v>
      </c>
      <c r="C8" s="57" t="s">
        <v>53</v>
      </c>
      <c r="D8" s="57" t="s">
        <v>54</v>
      </c>
      <c r="E8" s="57" t="s">
        <v>51</v>
      </c>
      <c r="F8" s="57">
        <v>13</v>
      </c>
      <c r="G8" s="57">
        <v>10</v>
      </c>
      <c r="H8" s="58">
        <f t="shared" si="5"/>
        <v>1.3273260000000002E-2</v>
      </c>
      <c r="I8" s="3">
        <f t="shared" si="1"/>
        <v>8.8488400000000023E-2</v>
      </c>
      <c r="J8" s="58">
        <f>(0.108337266+0.000046499*(F8^2*G8))</f>
        <v>0.186920576</v>
      </c>
      <c r="K8" s="3">
        <f t="shared" si="3"/>
        <v>1.2461371733333335</v>
      </c>
      <c r="L8" s="3">
        <f t="shared" si="4"/>
        <v>6.666666666666667</v>
      </c>
      <c r="M8" s="57"/>
      <c r="N8" s="57"/>
      <c r="O8" s="57"/>
    </row>
    <row r="9" spans="1:15" x14ac:dyDescent="0.25">
      <c r="A9" s="57">
        <v>1</v>
      </c>
      <c r="B9" s="57">
        <v>8</v>
      </c>
      <c r="C9" s="57" t="s">
        <v>58</v>
      </c>
      <c r="D9" s="57" t="s">
        <v>60</v>
      </c>
      <c r="E9" s="57" t="s">
        <v>51</v>
      </c>
      <c r="F9" s="57">
        <v>16</v>
      </c>
      <c r="G9" s="57">
        <v>10</v>
      </c>
      <c r="H9" s="58">
        <f t="shared" si="5"/>
        <v>2.0106240000000001E-2</v>
      </c>
      <c r="I9" s="3">
        <f t="shared" si="1"/>
        <v>0.13404160000000001</v>
      </c>
      <c r="J9" s="58">
        <f t="shared" ref="J9:J10" si="6">(0.0134651922+0.0000289134*(F9^2*G9))</f>
        <v>8.748349620000001E-2</v>
      </c>
      <c r="K9" s="3">
        <f t="shared" si="3"/>
        <v>0.58322330800000011</v>
      </c>
      <c r="L9" s="3">
        <f t="shared" si="4"/>
        <v>6.666666666666667</v>
      </c>
      <c r="M9" s="57"/>
      <c r="N9" s="57"/>
      <c r="O9" s="57"/>
    </row>
    <row r="10" spans="1:15" x14ac:dyDescent="0.25">
      <c r="A10" s="57">
        <v>1</v>
      </c>
      <c r="B10" s="57">
        <v>9</v>
      </c>
      <c r="C10" s="57" t="s">
        <v>58</v>
      </c>
      <c r="D10" s="57" t="s">
        <v>60</v>
      </c>
      <c r="E10" s="57" t="s">
        <v>51</v>
      </c>
      <c r="F10" s="57">
        <v>17</v>
      </c>
      <c r="G10" s="57">
        <v>10</v>
      </c>
      <c r="H10" s="58">
        <f t="shared" si="5"/>
        <v>2.2698060000000003E-2</v>
      </c>
      <c r="I10" s="3">
        <f t="shared" si="1"/>
        <v>0.15132040000000002</v>
      </c>
      <c r="J10" s="58">
        <f t="shared" si="6"/>
        <v>9.7024918200000004E-2</v>
      </c>
      <c r="K10" s="3">
        <f t="shared" si="3"/>
        <v>0.6468327880000001</v>
      </c>
      <c r="L10" s="3">
        <f t="shared" si="4"/>
        <v>6.666666666666667</v>
      </c>
      <c r="M10" s="57"/>
      <c r="N10" s="57"/>
      <c r="O10" s="57"/>
    </row>
    <row r="11" spans="1:15" x14ac:dyDescent="0.25">
      <c r="A11" s="57">
        <v>2</v>
      </c>
      <c r="B11" s="57">
        <v>1</v>
      </c>
      <c r="C11" s="57" t="s">
        <v>53</v>
      </c>
      <c r="D11" s="57" t="s">
        <v>54</v>
      </c>
      <c r="E11" s="57" t="s">
        <v>52</v>
      </c>
      <c r="F11" s="57">
        <v>22</v>
      </c>
      <c r="G11" s="57">
        <v>6</v>
      </c>
      <c r="H11" s="58">
        <f t="shared" si="5"/>
        <v>3.8013359999999996E-2</v>
      </c>
      <c r="I11" s="3">
        <f t="shared" si="1"/>
        <v>0.25342239999999999</v>
      </c>
      <c r="J11" s="58">
        <f>(0.108337266+0.000046499*(F11^2*G11))</f>
        <v>0.24337036200000001</v>
      </c>
      <c r="K11" s="3">
        <f t="shared" si="3"/>
        <v>1.6224690800000001</v>
      </c>
      <c r="L11" s="3">
        <f t="shared" si="4"/>
        <v>6.666666666666667</v>
      </c>
      <c r="M11" s="57"/>
    </row>
    <row r="12" spans="1:15" x14ac:dyDescent="0.25">
      <c r="A12" s="57">
        <v>2</v>
      </c>
      <c r="B12" s="57">
        <v>2</v>
      </c>
      <c r="C12" s="57" t="s">
        <v>59</v>
      </c>
      <c r="D12" s="75" t="s">
        <v>67</v>
      </c>
      <c r="E12" s="57" t="s">
        <v>52</v>
      </c>
      <c r="F12" s="57">
        <v>24</v>
      </c>
      <c r="G12" s="57">
        <v>10</v>
      </c>
      <c r="H12" s="58">
        <f t="shared" si="5"/>
        <v>4.5239040000000001E-2</v>
      </c>
      <c r="I12" s="3">
        <f t="shared" si="1"/>
        <v>0.30159360000000002</v>
      </c>
      <c r="J12" s="58">
        <f t="shared" ref="J12:J16" si="7">(0.108337266+0.000046499*(F12^2*G12))</f>
        <v>0.37617150599999999</v>
      </c>
      <c r="K12" s="3">
        <f t="shared" si="3"/>
        <v>2.5078100399999999</v>
      </c>
      <c r="L12" s="3">
        <f t="shared" si="4"/>
        <v>6.666666666666667</v>
      </c>
      <c r="M12" s="57"/>
    </row>
    <row r="13" spans="1:15" x14ac:dyDescent="0.25">
      <c r="A13" s="57">
        <v>2</v>
      </c>
      <c r="B13" s="57">
        <v>3</v>
      </c>
      <c r="C13" s="57" t="s">
        <v>59</v>
      </c>
      <c r="D13" s="75" t="s">
        <v>67</v>
      </c>
      <c r="E13" s="57" t="s">
        <v>51</v>
      </c>
      <c r="F13" s="57">
        <v>18</v>
      </c>
      <c r="G13" s="57">
        <v>8</v>
      </c>
      <c r="H13" s="58">
        <f t="shared" si="5"/>
        <v>2.5446959999999998E-2</v>
      </c>
      <c r="I13" s="3">
        <f t="shared" si="1"/>
        <v>0.1696464</v>
      </c>
      <c r="J13" s="58">
        <f t="shared" si="7"/>
        <v>0.22886267400000002</v>
      </c>
      <c r="K13" s="3">
        <f t="shared" si="3"/>
        <v>1.5257511600000002</v>
      </c>
      <c r="L13" s="3">
        <f t="shared" si="4"/>
        <v>6.666666666666667</v>
      </c>
      <c r="M13" s="57"/>
    </row>
    <row r="14" spans="1:15" x14ac:dyDescent="0.25">
      <c r="A14" s="57">
        <v>2</v>
      </c>
      <c r="B14" s="57">
        <v>4</v>
      </c>
      <c r="C14" s="57" t="s">
        <v>59</v>
      </c>
      <c r="D14" s="75" t="s">
        <v>67</v>
      </c>
      <c r="E14" s="57" t="s">
        <v>63</v>
      </c>
      <c r="F14" s="57">
        <v>31</v>
      </c>
      <c r="G14" s="57">
        <v>12</v>
      </c>
      <c r="H14" s="58">
        <f t="shared" si="5"/>
        <v>7.5476940000000006E-2</v>
      </c>
      <c r="I14" s="3">
        <f t="shared" si="1"/>
        <v>0.50317960000000006</v>
      </c>
      <c r="J14" s="58">
        <f t="shared" si="7"/>
        <v>0.64456373400000011</v>
      </c>
      <c r="K14" s="3">
        <f t="shared" si="3"/>
        <v>4.297091560000001</v>
      </c>
      <c r="L14" s="3">
        <f t="shared" si="4"/>
        <v>6.666666666666667</v>
      </c>
      <c r="M14" s="57"/>
    </row>
    <row r="15" spans="1:15" x14ac:dyDescent="0.25">
      <c r="A15" s="57">
        <v>2</v>
      </c>
      <c r="B15" s="57">
        <v>5</v>
      </c>
      <c r="C15" s="57" t="s">
        <v>59</v>
      </c>
      <c r="D15" s="75" t="s">
        <v>67</v>
      </c>
      <c r="E15" s="57" t="s">
        <v>51</v>
      </c>
      <c r="F15" s="72">
        <v>19</v>
      </c>
      <c r="G15" s="57">
        <v>9</v>
      </c>
      <c r="H15" s="58">
        <f t="shared" si="5"/>
        <v>2.835294E-2</v>
      </c>
      <c r="I15" s="3">
        <f t="shared" si="1"/>
        <v>0.18901960000000001</v>
      </c>
      <c r="J15" s="58">
        <f t="shared" si="7"/>
        <v>0.25941251700000001</v>
      </c>
      <c r="K15" s="3">
        <f t="shared" si="3"/>
        <v>1.7294167800000002</v>
      </c>
      <c r="L15" s="3">
        <f t="shared" si="4"/>
        <v>6.666666666666667</v>
      </c>
      <c r="M15" s="57"/>
    </row>
    <row r="16" spans="1:15" x14ac:dyDescent="0.25">
      <c r="A16" s="57">
        <v>2</v>
      </c>
      <c r="B16" s="57">
        <v>6</v>
      </c>
      <c r="C16" s="57" t="s">
        <v>59</v>
      </c>
      <c r="D16" s="75" t="s">
        <v>67</v>
      </c>
      <c r="E16" s="57" t="s">
        <v>51</v>
      </c>
      <c r="F16" s="57">
        <v>18</v>
      </c>
      <c r="G16" s="57">
        <v>9</v>
      </c>
      <c r="H16" s="58">
        <f t="shared" si="5"/>
        <v>2.5446959999999998E-2</v>
      </c>
      <c r="I16" s="3">
        <f t="shared" si="1"/>
        <v>0.1696464</v>
      </c>
      <c r="J16" s="58">
        <f t="shared" si="7"/>
        <v>0.24392835000000002</v>
      </c>
      <c r="K16" s="3">
        <f t="shared" si="3"/>
        <v>1.6261890000000001</v>
      </c>
      <c r="L16" s="3">
        <f t="shared" si="4"/>
        <v>6.666666666666667</v>
      </c>
      <c r="M16" s="57"/>
      <c r="N16" s="57"/>
      <c r="O16" s="57"/>
    </row>
    <row r="17" spans="1:15" x14ac:dyDescent="0.25">
      <c r="A17" s="57">
        <v>2</v>
      </c>
      <c r="B17" s="57">
        <v>7</v>
      </c>
      <c r="C17" s="57" t="s">
        <v>53</v>
      </c>
      <c r="D17" s="57" t="s">
        <v>54</v>
      </c>
      <c r="E17" s="57" t="s">
        <v>51</v>
      </c>
      <c r="F17" s="57">
        <v>17</v>
      </c>
      <c r="G17" s="57">
        <v>12</v>
      </c>
      <c r="H17" s="58">
        <f t="shared" si="5"/>
        <v>2.2698060000000003E-2</v>
      </c>
      <c r="I17" s="3">
        <f t="shared" si="1"/>
        <v>0.15132040000000002</v>
      </c>
      <c r="J17" s="58">
        <f>(0.108337266+0.000046499*(F17^2*G17))</f>
        <v>0.269595798</v>
      </c>
      <c r="K17" s="3">
        <f t="shared" si="3"/>
        <v>1.79730532</v>
      </c>
      <c r="L17" s="3">
        <f t="shared" si="4"/>
        <v>6.666666666666667</v>
      </c>
      <c r="M17" s="57"/>
      <c r="N17" s="57"/>
      <c r="O17" s="57"/>
    </row>
    <row r="18" spans="1:15" x14ac:dyDescent="0.25">
      <c r="A18" s="57">
        <v>2</v>
      </c>
      <c r="B18" s="57">
        <v>8</v>
      </c>
      <c r="C18" s="57" t="s">
        <v>59</v>
      </c>
      <c r="D18" s="75" t="s">
        <v>67</v>
      </c>
      <c r="E18" s="57" t="s">
        <v>63</v>
      </c>
      <c r="F18" s="57">
        <v>31</v>
      </c>
      <c r="G18" s="57">
        <v>16</v>
      </c>
      <c r="H18" s="58">
        <f t="shared" si="5"/>
        <v>7.5476940000000006E-2</v>
      </c>
      <c r="I18" s="3">
        <f t="shared" si="1"/>
        <v>0.50317960000000006</v>
      </c>
      <c r="J18" s="58">
        <f t="shared" ref="J18:J22" si="8">(0.108337266+0.000046499*(F18^2*G18))</f>
        <v>0.8233058900000001</v>
      </c>
      <c r="K18" s="3">
        <f t="shared" si="3"/>
        <v>5.4887059333333346</v>
      </c>
      <c r="L18" s="3">
        <f t="shared" si="4"/>
        <v>6.666666666666667</v>
      </c>
      <c r="M18" s="57"/>
      <c r="N18" s="57"/>
      <c r="O18" s="57"/>
    </row>
    <row r="19" spans="1:15" x14ac:dyDescent="0.25">
      <c r="A19" s="57">
        <v>2</v>
      </c>
      <c r="B19" s="57">
        <v>9</v>
      </c>
      <c r="C19" s="57" t="s">
        <v>59</v>
      </c>
      <c r="D19" s="75" t="s">
        <v>67</v>
      </c>
      <c r="E19" s="57" t="s">
        <v>52</v>
      </c>
      <c r="F19" s="57">
        <v>21</v>
      </c>
      <c r="G19" s="57">
        <v>12</v>
      </c>
      <c r="H19" s="58">
        <f t="shared" si="5"/>
        <v>3.4636139999999996E-2</v>
      </c>
      <c r="I19" s="3">
        <f t="shared" si="1"/>
        <v>0.23090759999999999</v>
      </c>
      <c r="J19" s="58">
        <f t="shared" si="8"/>
        <v>0.35440997400000002</v>
      </c>
      <c r="K19" s="3">
        <f t="shared" si="3"/>
        <v>2.3627331600000003</v>
      </c>
      <c r="L19" s="3">
        <f t="shared" si="4"/>
        <v>6.666666666666667</v>
      </c>
      <c r="M19" s="57"/>
      <c r="N19" s="57"/>
      <c r="O19" s="57"/>
    </row>
    <row r="20" spans="1:15" x14ac:dyDescent="0.25">
      <c r="A20" s="57">
        <v>2</v>
      </c>
      <c r="B20" s="57">
        <v>10</v>
      </c>
      <c r="C20" s="57" t="s">
        <v>59</v>
      </c>
      <c r="D20" s="75" t="s">
        <v>67</v>
      </c>
      <c r="E20" s="57" t="s">
        <v>51</v>
      </c>
      <c r="F20" s="57">
        <v>14</v>
      </c>
      <c r="G20" s="57">
        <v>8</v>
      </c>
      <c r="H20" s="58">
        <f t="shared" si="5"/>
        <v>1.5393840000000002E-2</v>
      </c>
      <c r="I20" s="3">
        <f t="shared" si="1"/>
        <v>0.10262560000000003</v>
      </c>
      <c r="J20" s="58">
        <f t="shared" si="8"/>
        <v>0.18124769800000001</v>
      </c>
      <c r="K20" s="3">
        <f t="shared" si="3"/>
        <v>1.2083179866666669</v>
      </c>
      <c r="L20" s="3">
        <f t="shared" si="4"/>
        <v>6.666666666666667</v>
      </c>
      <c r="M20" s="57"/>
      <c r="N20" s="57"/>
      <c r="O20" s="57"/>
    </row>
    <row r="21" spans="1:15" x14ac:dyDescent="0.25">
      <c r="A21" s="57">
        <v>2</v>
      </c>
      <c r="B21" s="57">
        <v>11</v>
      </c>
      <c r="C21" s="57" t="s">
        <v>59</v>
      </c>
      <c r="D21" s="75" t="s">
        <v>67</v>
      </c>
      <c r="E21" s="57" t="s">
        <v>51</v>
      </c>
      <c r="F21" s="57">
        <v>14</v>
      </c>
      <c r="G21" s="57">
        <v>8</v>
      </c>
      <c r="H21" s="58">
        <f t="shared" si="5"/>
        <v>1.5393840000000002E-2</v>
      </c>
      <c r="I21" s="3">
        <f t="shared" si="1"/>
        <v>0.10262560000000003</v>
      </c>
      <c r="J21" s="58">
        <f t="shared" si="8"/>
        <v>0.18124769800000001</v>
      </c>
      <c r="K21" s="3">
        <f t="shared" si="3"/>
        <v>1.2083179866666669</v>
      </c>
      <c r="L21" s="3">
        <f t="shared" si="4"/>
        <v>6.666666666666667</v>
      </c>
      <c r="M21" s="57"/>
      <c r="N21" s="57"/>
      <c r="O21" s="57"/>
    </row>
    <row r="22" spans="1:15" x14ac:dyDescent="0.25">
      <c r="A22" s="57">
        <v>2</v>
      </c>
      <c r="B22" s="57">
        <v>12</v>
      </c>
      <c r="C22" s="57" t="s">
        <v>59</v>
      </c>
      <c r="D22" s="75" t="s">
        <v>67</v>
      </c>
      <c r="E22" s="57" t="s">
        <v>52</v>
      </c>
      <c r="F22" s="57">
        <v>24</v>
      </c>
      <c r="G22" s="57">
        <v>15</v>
      </c>
      <c r="H22" s="58">
        <f t="shared" si="5"/>
        <v>4.5239040000000001E-2</v>
      </c>
      <c r="I22" s="3">
        <f t="shared" si="1"/>
        <v>0.30159360000000002</v>
      </c>
      <c r="J22" s="58">
        <f t="shared" si="8"/>
        <v>0.51008862600000004</v>
      </c>
      <c r="K22" s="3">
        <f t="shared" si="3"/>
        <v>3.4005908400000004</v>
      </c>
      <c r="L22" s="3">
        <f t="shared" si="4"/>
        <v>6.666666666666667</v>
      </c>
      <c r="M22" s="57"/>
      <c r="N22" s="57"/>
      <c r="O22" s="57"/>
    </row>
    <row r="23" spans="1:15" x14ac:dyDescent="0.25">
      <c r="A23" s="57">
        <v>2</v>
      </c>
      <c r="B23" s="57">
        <v>13</v>
      </c>
      <c r="C23" s="57" t="s">
        <v>64</v>
      </c>
      <c r="D23" s="57" t="s">
        <v>62</v>
      </c>
      <c r="E23" s="57" t="s">
        <v>51</v>
      </c>
      <c r="F23" s="57">
        <v>18</v>
      </c>
      <c r="G23" s="57">
        <v>8</v>
      </c>
      <c r="H23" s="58">
        <f t="shared" si="5"/>
        <v>2.5446959999999998E-2</v>
      </c>
      <c r="I23" s="3">
        <f t="shared" si="1"/>
        <v>0.1696464</v>
      </c>
      <c r="J23" s="58">
        <f>(0.0050811768+0.0000286052*(F23^2*G23))</f>
        <v>7.92258552E-2</v>
      </c>
      <c r="K23" s="3">
        <f t="shared" si="3"/>
        <v>0.528172368</v>
      </c>
      <c r="L23" s="3">
        <f t="shared" si="4"/>
        <v>6.666666666666667</v>
      </c>
      <c r="M23" s="57"/>
      <c r="N23" s="57"/>
      <c r="O23" s="57"/>
    </row>
    <row r="24" spans="1:15" x14ac:dyDescent="0.25">
      <c r="A24" s="57">
        <v>2</v>
      </c>
      <c r="B24" s="57">
        <v>14</v>
      </c>
      <c r="C24" s="57" t="s">
        <v>59</v>
      </c>
      <c r="D24" s="75" t="s">
        <v>67</v>
      </c>
      <c r="E24" s="57" t="s">
        <v>63</v>
      </c>
      <c r="F24" s="57">
        <v>31</v>
      </c>
      <c r="G24" s="57">
        <v>14</v>
      </c>
      <c r="H24" s="58">
        <f t="shared" si="5"/>
        <v>7.5476940000000006E-2</v>
      </c>
      <c r="I24" s="3">
        <f t="shared" si="1"/>
        <v>0.50317960000000006</v>
      </c>
      <c r="J24" s="58">
        <f t="shared" ref="J24:J31" si="9">(0.108337266+0.000046499*(F24^2*G24))</f>
        <v>0.7339348120000001</v>
      </c>
      <c r="K24" s="3">
        <f t="shared" si="3"/>
        <v>4.8928987466666678</v>
      </c>
      <c r="L24" s="3">
        <f t="shared" si="4"/>
        <v>6.666666666666667</v>
      </c>
      <c r="M24" s="57"/>
      <c r="N24" s="57"/>
      <c r="O24" s="57"/>
    </row>
    <row r="25" spans="1:15" x14ac:dyDescent="0.25">
      <c r="A25" s="57">
        <v>3</v>
      </c>
      <c r="B25" s="57">
        <v>1</v>
      </c>
      <c r="C25" s="57" t="s">
        <v>59</v>
      </c>
      <c r="D25" s="75" t="s">
        <v>67</v>
      </c>
      <c r="E25" s="57" t="s">
        <v>65</v>
      </c>
      <c r="F25" s="57">
        <v>40</v>
      </c>
      <c r="G25" s="57">
        <v>18</v>
      </c>
      <c r="H25" s="58">
        <f t="shared" si="5"/>
        <v>0.12566400000000003</v>
      </c>
      <c r="I25" s="3">
        <f t="shared" si="1"/>
        <v>0.83776000000000017</v>
      </c>
      <c r="J25" s="58">
        <f t="shared" si="9"/>
        <v>1.4475084659999999</v>
      </c>
      <c r="K25" s="3">
        <f t="shared" si="3"/>
        <v>9.6500564400000002</v>
      </c>
      <c r="L25" s="3">
        <f t="shared" si="4"/>
        <v>6.666666666666667</v>
      </c>
      <c r="M25" s="57"/>
      <c r="N25" s="57"/>
      <c r="O25" s="57"/>
    </row>
    <row r="26" spans="1:15" x14ac:dyDescent="0.25">
      <c r="A26" s="57">
        <v>3</v>
      </c>
      <c r="B26" s="57">
        <v>2</v>
      </c>
      <c r="C26" s="57" t="s">
        <v>59</v>
      </c>
      <c r="D26" s="75" t="s">
        <v>67</v>
      </c>
      <c r="E26" s="57" t="s">
        <v>51</v>
      </c>
      <c r="F26" s="57">
        <v>12</v>
      </c>
      <c r="G26" s="57">
        <v>10</v>
      </c>
      <c r="H26" s="58">
        <f t="shared" si="5"/>
        <v>1.130976E-2</v>
      </c>
      <c r="I26" s="3">
        <f t="shared" si="1"/>
        <v>7.5398400000000004E-2</v>
      </c>
      <c r="J26" s="58">
        <f t="shared" si="9"/>
        <v>0.17529582599999999</v>
      </c>
      <c r="K26" s="3">
        <f t="shared" si="3"/>
        <v>1.1686388400000001</v>
      </c>
      <c r="L26" s="3">
        <f t="shared" si="4"/>
        <v>6.666666666666667</v>
      </c>
      <c r="M26" s="57"/>
      <c r="N26" s="57"/>
      <c r="O26" s="57"/>
    </row>
    <row r="27" spans="1:15" x14ac:dyDescent="0.25">
      <c r="A27" s="57">
        <v>3</v>
      </c>
      <c r="B27" s="57">
        <v>3</v>
      </c>
      <c r="C27" s="57" t="s">
        <v>59</v>
      </c>
      <c r="D27" s="75" t="s">
        <v>67</v>
      </c>
      <c r="E27" s="57" t="s">
        <v>52</v>
      </c>
      <c r="F27" s="57">
        <v>22</v>
      </c>
      <c r="G27" s="57">
        <v>15</v>
      </c>
      <c r="H27" s="58">
        <f t="shared" si="5"/>
        <v>3.8013359999999996E-2</v>
      </c>
      <c r="I27" s="3">
        <f t="shared" si="1"/>
        <v>0.25342239999999999</v>
      </c>
      <c r="J27" s="58">
        <f t="shared" si="9"/>
        <v>0.44592000600000004</v>
      </c>
      <c r="K27" s="3">
        <f t="shared" si="3"/>
        <v>2.9728000400000005</v>
      </c>
      <c r="L27" s="3">
        <f t="shared" si="4"/>
        <v>6.666666666666667</v>
      </c>
      <c r="M27" s="57"/>
      <c r="N27" s="57"/>
      <c r="O27" s="57"/>
    </row>
    <row r="28" spans="1:15" x14ac:dyDescent="0.25">
      <c r="A28" s="57">
        <v>3</v>
      </c>
      <c r="B28" s="57">
        <v>4</v>
      </c>
      <c r="C28" s="57" t="s">
        <v>59</v>
      </c>
      <c r="D28" s="75" t="s">
        <v>67</v>
      </c>
      <c r="E28" s="57" t="s">
        <v>63</v>
      </c>
      <c r="F28" s="57">
        <v>32</v>
      </c>
      <c r="G28" s="57">
        <v>15</v>
      </c>
      <c r="H28" s="58">
        <f t="shared" si="5"/>
        <v>8.0424960000000004E-2</v>
      </c>
      <c r="I28" s="3">
        <f t="shared" si="1"/>
        <v>0.53616640000000004</v>
      </c>
      <c r="J28" s="58">
        <f t="shared" si="9"/>
        <v>0.82256190600000012</v>
      </c>
      <c r="K28" s="3">
        <f t="shared" si="3"/>
        <v>5.4837460400000007</v>
      </c>
      <c r="L28" s="3">
        <f t="shared" si="4"/>
        <v>6.666666666666667</v>
      </c>
      <c r="M28" s="57"/>
      <c r="N28" s="57"/>
      <c r="O28" s="57"/>
    </row>
    <row r="29" spans="1:15" s="1" customFormat="1" x14ac:dyDescent="0.25">
      <c r="A29" s="57">
        <v>3</v>
      </c>
      <c r="B29" s="57">
        <v>5</v>
      </c>
      <c r="C29" s="57" t="s">
        <v>59</v>
      </c>
      <c r="D29" s="75" t="s">
        <v>67</v>
      </c>
      <c r="E29" s="57" t="s">
        <v>63</v>
      </c>
      <c r="F29" s="57">
        <v>30</v>
      </c>
      <c r="G29" s="57">
        <v>16</v>
      </c>
      <c r="H29" s="58">
        <f t="shared" si="5"/>
        <v>7.0685999999999999E-2</v>
      </c>
      <c r="I29" s="3">
        <f t="shared" si="1"/>
        <v>0.47123999999999999</v>
      </c>
      <c r="J29" s="58">
        <f t="shared" si="9"/>
        <v>0.77792286600000005</v>
      </c>
      <c r="K29" s="3">
        <f t="shared" si="3"/>
        <v>5.1861524400000008</v>
      </c>
      <c r="L29" s="3">
        <f t="shared" si="4"/>
        <v>6.666666666666667</v>
      </c>
      <c r="M29" s="57"/>
      <c r="N29" s="57"/>
      <c r="O29" s="57"/>
    </row>
    <row r="30" spans="1:15" s="1" customFormat="1" x14ac:dyDescent="0.25">
      <c r="A30" s="57">
        <v>3</v>
      </c>
      <c r="B30" s="57">
        <v>6</v>
      </c>
      <c r="C30" s="57" t="s">
        <v>59</v>
      </c>
      <c r="D30" s="75" t="s">
        <v>67</v>
      </c>
      <c r="E30" s="57" t="s">
        <v>63</v>
      </c>
      <c r="F30" s="57">
        <v>31</v>
      </c>
      <c r="G30" s="57">
        <v>17</v>
      </c>
      <c r="H30" s="58">
        <f t="shared" si="5"/>
        <v>7.5476940000000006E-2</v>
      </c>
      <c r="I30" s="3">
        <f t="shared" si="1"/>
        <v>0.50317960000000006</v>
      </c>
      <c r="J30" s="58">
        <f t="shared" si="9"/>
        <v>0.86799142900000015</v>
      </c>
      <c r="K30" s="3">
        <f t="shared" si="3"/>
        <v>5.7866095266666679</v>
      </c>
      <c r="L30" s="3">
        <f t="shared" si="4"/>
        <v>6.666666666666667</v>
      </c>
      <c r="M30" s="57"/>
      <c r="N30" s="57"/>
      <c r="O30" s="57"/>
    </row>
    <row r="31" spans="1:15" x14ac:dyDescent="0.25">
      <c r="A31" s="57">
        <v>3</v>
      </c>
      <c r="B31" s="57">
        <v>7</v>
      </c>
      <c r="C31" s="57" t="s">
        <v>59</v>
      </c>
      <c r="D31" s="75" t="s">
        <v>67</v>
      </c>
      <c r="E31" s="57" t="s">
        <v>63</v>
      </c>
      <c r="F31" s="57">
        <v>30</v>
      </c>
      <c r="G31" s="57">
        <v>14</v>
      </c>
      <c r="H31" s="58">
        <f t="shared" si="5"/>
        <v>7.0685999999999999E-2</v>
      </c>
      <c r="I31" s="3">
        <f t="shared" si="1"/>
        <v>0.47123999999999999</v>
      </c>
      <c r="J31" s="58">
        <f t="shared" si="9"/>
        <v>0.6942246660000001</v>
      </c>
      <c r="K31" s="3">
        <f t="shared" si="3"/>
        <v>4.6281644400000008</v>
      </c>
      <c r="L31" s="3">
        <f t="shared" si="4"/>
        <v>6.666666666666667</v>
      </c>
      <c r="M31" s="57"/>
      <c r="N31" s="57"/>
      <c r="O31" s="57"/>
    </row>
    <row r="32" spans="1:15" x14ac:dyDescent="0.25">
      <c r="A32" s="57">
        <v>3</v>
      </c>
      <c r="B32" s="57">
        <v>8</v>
      </c>
      <c r="C32" s="57" t="s">
        <v>64</v>
      </c>
      <c r="D32" s="57" t="s">
        <v>62</v>
      </c>
      <c r="E32" s="57" t="s">
        <v>63</v>
      </c>
      <c r="F32" s="57">
        <v>30</v>
      </c>
      <c r="G32" s="57">
        <v>17</v>
      </c>
      <c r="H32" s="58">
        <f t="shared" si="5"/>
        <v>7.0685999999999999E-2</v>
      </c>
      <c r="I32" s="3">
        <f t="shared" si="1"/>
        <v>0.47123999999999999</v>
      </c>
      <c r="J32" s="58">
        <f>(0.0050811768+0.0000286052*(F32^2*G32))</f>
        <v>0.44274073679999998</v>
      </c>
      <c r="K32" s="3">
        <f t="shared" si="3"/>
        <v>2.9516049120000001</v>
      </c>
      <c r="L32" s="3">
        <f t="shared" si="4"/>
        <v>6.666666666666667</v>
      </c>
      <c r="M32" s="57"/>
      <c r="N32" s="57"/>
      <c r="O32" s="57"/>
    </row>
  </sheetData>
  <autoFilter ref="A1:L32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4"/>
  <sheetViews>
    <sheetView workbookViewId="0">
      <selection activeCell="D13" sqref="D13"/>
    </sheetView>
  </sheetViews>
  <sheetFormatPr baseColWidth="10" defaultColWidth="11.42578125" defaultRowHeight="15" x14ac:dyDescent="0.25"/>
  <cols>
    <col min="1" max="1" width="20.28515625" customWidth="1"/>
    <col min="2" max="2" width="19" bestFit="1" customWidth="1"/>
    <col min="3" max="3" width="13.85546875" customWidth="1"/>
    <col min="4" max="4" width="18.42578125" bestFit="1" customWidth="1"/>
    <col min="5" max="5" width="10.7109375" bestFit="1" customWidth="1"/>
    <col min="6" max="6" width="11.5703125" bestFit="1" customWidth="1"/>
    <col min="7" max="7" width="14" customWidth="1"/>
  </cols>
  <sheetData>
    <row r="3" spans="1:11" x14ac:dyDescent="0.25">
      <c r="A3" s="4" t="s">
        <v>66</v>
      </c>
      <c r="B3" t="s">
        <v>13</v>
      </c>
    </row>
    <row r="4" spans="1:11" x14ac:dyDescent="0.25">
      <c r="A4" s="5" t="s">
        <v>54</v>
      </c>
      <c r="B4" s="7">
        <v>5</v>
      </c>
    </row>
    <row r="5" spans="1:11" x14ac:dyDescent="0.25">
      <c r="A5" s="6" t="s">
        <v>53</v>
      </c>
      <c r="B5" s="7">
        <v>5</v>
      </c>
    </row>
    <row r="6" spans="1:11" x14ac:dyDescent="0.25">
      <c r="A6" s="5" t="s">
        <v>60</v>
      </c>
      <c r="B6" s="7">
        <v>3</v>
      </c>
    </row>
    <row r="7" spans="1:11" x14ac:dyDescent="0.25">
      <c r="A7" s="6" t="s">
        <v>58</v>
      </c>
      <c r="B7" s="7">
        <v>3</v>
      </c>
    </row>
    <row r="8" spans="1:11" x14ac:dyDescent="0.25">
      <c r="A8" s="5" t="s">
        <v>61</v>
      </c>
      <c r="B8" s="7">
        <v>19</v>
      </c>
    </row>
    <row r="9" spans="1:11" x14ac:dyDescent="0.25">
      <c r="A9" s="6" t="s">
        <v>59</v>
      </c>
      <c r="B9" s="7">
        <v>19</v>
      </c>
    </row>
    <row r="10" spans="1:11" x14ac:dyDescent="0.25">
      <c r="A10" s="5" t="s">
        <v>62</v>
      </c>
      <c r="B10" s="7">
        <v>4</v>
      </c>
      <c r="K10">
        <f>0.15*100/1.34</f>
        <v>11.194029850746269</v>
      </c>
    </row>
    <row r="11" spans="1:11" x14ac:dyDescent="0.25">
      <c r="A11" s="6" t="s">
        <v>64</v>
      </c>
      <c r="B11" s="7">
        <v>4</v>
      </c>
    </row>
    <row r="12" spans="1:11" x14ac:dyDescent="0.25">
      <c r="A12" s="5" t="s">
        <v>12</v>
      </c>
      <c r="B12" s="7">
        <v>31</v>
      </c>
    </row>
    <row r="13" spans="1:11" ht="30" customHeight="1" x14ac:dyDescent="0.25"/>
    <row r="19" spans="2:6" ht="45" x14ac:dyDescent="0.25">
      <c r="B19" s="19" t="s">
        <v>20</v>
      </c>
      <c r="C19" s="20" t="s">
        <v>21</v>
      </c>
      <c r="D19" s="20" t="s">
        <v>22</v>
      </c>
      <c r="E19" s="20" t="s">
        <v>23</v>
      </c>
      <c r="F19" s="21" t="s">
        <v>24</v>
      </c>
    </row>
    <row r="20" spans="2:6" s="1" customFormat="1" x14ac:dyDescent="0.25">
      <c r="B20" s="62">
        <v>1</v>
      </c>
      <c r="C20" s="64" t="str">
        <f>A5</f>
        <v>Aliso</v>
      </c>
      <c r="D20" s="64" t="str">
        <f>A4</f>
        <v>Alnus sp.</v>
      </c>
      <c r="E20" s="63">
        <f>GETPIVOTDATA("No. Arbol",$A$3,"Especie","Alnus sp.")</f>
        <v>5</v>
      </c>
      <c r="F20" s="67">
        <f>E20/E24*100</f>
        <v>16.129032258064516</v>
      </c>
    </row>
    <row r="21" spans="2:6" s="1" customFormat="1" x14ac:dyDescent="0.25">
      <c r="B21" s="62">
        <v>2</v>
      </c>
      <c r="C21" s="64" t="str">
        <f>A7</f>
        <v>Ciprés</v>
      </c>
      <c r="D21" s="64" t="str">
        <f>A6</f>
        <v>Cupresus lusitanica</v>
      </c>
      <c r="E21" s="63">
        <f>GETPIVOTDATA("No. Arbol",$A$3,"Especie","Cupresus lusitanica")</f>
        <v>3</v>
      </c>
      <c r="F21" s="67">
        <f>E21/E24*100</f>
        <v>9.67741935483871</v>
      </c>
    </row>
    <row r="22" spans="2:6" x14ac:dyDescent="0.25">
      <c r="B22" s="9">
        <v>3</v>
      </c>
      <c r="C22" s="9" t="str">
        <f>A9</f>
        <v>Chulube</v>
      </c>
      <c r="D22" s="10" t="str">
        <f>A8</f>
        <v>N. D</v>
      </c>
      <c r="E22" s="65">
        <f>GETPIVOTDATA("No. Arbol",$A$3,"Especie","N. D")</f>
        <v>19</v>
      </c>
      <c r="F22" s="66">
        <f>E22/E24*100</f>
        <v>61.29032258064516</v>
      </c>
    </row>
    <row r="23" spans="2:6" s="1" customFormat="1" x14ac:dyDescent="0.25">
      <c r="B23" s="62">
        <v>4</v>
      </c>
      <c r="C23" s="9" t="str">
        <f>A11</f>
        <v>Pino triste</v>
      </c>
      <c r="D23" s="10" t="str">
        <f>A10</f>
        <v>Pinus psudostrobus</v>
      </c>
      <c r="E23" s="65">
        <f>GETPIVOTDATA("No. Arbol",$A$3,"Especie","Pinus psudostrobus")</f>
        <v>4</v>
      </c>
      <c r="F23" s="66">
        <f>E23/E24*100</f>
        <v>12.903225806451612</v>
      </c>
    </row>
    <row r="24" spans="2:6" x14ac:dyDescent="0.25">
      <c r="B24" s="82" t="s">
        <v>25</v>
      </c>
      <c r="C24" s="82"/>
      <c r="D24" s="82"/>
      <c r="E24" s="53">
        <f>SUM(E20:E23)</f>
        <v>31</v>
      </c>
      <c r="F24" s="22">
        <f>SUM(F20:F23)</f>
        <v>100</v>
      </c>
    </row>
  </sheetData>
  <mergeCells count="1">
    <mergeCell ref="B24:D24"/>
  </mergeCell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8"/>
  <sheetViews>
    <sheetView topLeftCell="B3" workbookViewId="0">
      <selection activeCell="B5" sqref="B5"/>
    </sheetView>
  </sheetViews>
  <sheetFormatPr baseColWidth="10" defaultColWidth="11.42578125" defaultRowHeight="15" x14ac:dyDescent="0.25"/>
  <cols>
    <col min="1" max="1" width="18.42578125" customWidth="1"/>
    <col min="2" max="3" width="21.28515625" customWidth="1"/>
    <col min="4" max="4" width="22.140625" customWidth="1"/>
    <col min="5" max="5" width="15.140625" customWidth="1"/>
    <col min="6" max="6" width="21" customWidth="1"/>
    <col min="7" max="7" width="10.42578125" customWidth="1"/>
    <col min="8" max="8" width="10.28515625" customWidth="1"/>
    <col min="9" max="9" width="7.85546875" customWidth="1"/>
    <col min="10" max="10" width="8.85546875" customWidth="1"/>
  </cols>
  <sheetData>
    <row r="3" spans="1:12" x14ac:dyDescent="0.25">
      <c r="B3" s="4" t="s">
        <v>15</v>
      </c>
    </row>
    <row r="4" spans="1:12" x14ac:dyDescent="0.25">
      <c r="A4" s="4" t="s">
        <v>66</v>
      </c>
      <c r="B4" s="1" t="s">
        <v>14</v>
      </c>
      <c r="C4" s="1" t="s">
        <v>16</v>
      </c>
      <c r="D4" s="1" t="s">
        <v>17</v>
      </c>
      <c r="E4" s="1" t="s">
        <v>18</v>
      </c>
      <c r="F4" s="1" t="s">
        <v>19</v>
      </c>
    </row>
    <row r="5" spans="1:12" x14ac:dyDescent="0.25">
      <c r="A5" s="5" t="s">
        <v>54</v>
      </c>
      <c r="B5" s="8">
        <v>33.333333333333336</v>
      </c>
      <c r="C5" s="2">
        <v>24</v>
      </c>
      <c r="D5" s="2">
        <v>11.6</v>
      </c>
      <c r="E5" s="2">
        <v>1.9090456000000002</v>
      </c>
      <c r="F5" s="2">
        <v>19.864192666666668</v>
      </c>
    </row>
    <row r="6" spans="1:12" x14ac:dyDescent="0.25">
      <c r="A6" s="5" t="s">
        <v>60</v>
      </c>
      <c r="B6" s="8">
        <v>20</v>
      </c>
      <c r="C6" s="2">
        <v>15.666666666666666</v>
      </c>
      <c r="D6" s="2">
        <v>10</v>
      </c>
      <c r="E6" s="2">
        <v>0.38798760000000004</v>
      </c>
      <c r="F6" s="2">
        <v>1.6976258040000003</v>
      </c>
    </row>
    <row r="7" spans="1:12" x14ac:dyDescent="0.25">
      <c r="A7" s="5" t="s">
        <v>61</v>
      </c>
      <c r="B7" s="8">
        <v>126.6666666666667</v>
      </c>
      <c r="C7" s="2">
        <v>25.05263157894737</v>
      </c>
      <c r="D7" s="2">
        <v>12.631578947368421</v>
      </c>
      <c r="E7" s="2">
        <v>6.8308856000000002</v>
      </c>
      <c r="F7" s="2">
        <v>70.863171506666689</v>
      </c>
      <c r="L7">
        <f>2013-1977</f>
        <v>36</v>
      </c>
    </row>
    <row r="8" spans="1:12" x14ac:dyDescent="0.25">
      <c r="A8" s="5" t="s">
        <v>62</v>
      </c>
      <c r="B8" s="8">
        <v>26.666666666666668</v>
      </c>
      <c r="C8" s="2">
        <v>31</v>
      </c>
      <c r="D8" s="2">
        <v>14.75</v>
      </c>
      <c r="E8" s="2">
        <v>2.157232</v>
      </c>
      <c r="F8" s="2">
        <v>12.936134346666666</v>
      </c>
    </row>
    <row r="9" spans="1:12" x14ac:dyDescent="0.25">
      <c r="A9" s="5" t="s">
        <v>12</v>
      </c>
      <c r="B9" s="8">
        <v>206.6666666666666</v>
      </c>
      <c r="C9" s="2">
        <v>24.741935483870968</v>
      </c>
      <c r="D9" s="2">
        <v>12.483870967741936</v>
      </c>
      <c r="E9" s="2">
        <v>11.2851508</v>
      </c>
      <c r="F9" s="2">
        <v>105.36112432399999</v>
      </c>
    </row>
    <row r="12" spans="1:12" x14ac:dyDescent="0.25">
      <c r="B12" s="87" t="s">
        <v>26</v>
      </c>
      <c r="C12" s="87" t="s">
        <v>27</v>
      </c>
      <c r="D12" s="84" t="s">
        <v>3</v>
      </c>
      <c r="E12" s="83" t="s">
        <v>14</v>
      </c>
      <c r="F12" s="83" t="s">
        <v>16</v>
      </c>
      <c r="G12" s="83" t="s">
        <v>17</v>
      </c>
      <c r="H12" s="83" t="s">
        <v>18</v>
      </c>
      <c r="I12" s="84" t="s">
        <v>28</v>
      </c>
      <c r="J12" s="84"/>
    </row>
    <row r="13" spans="1:12" x14ac:dyDescent="0.25">
      <c r="B13" s="87"/>
      <c r="C13" s="87"/>
      <c r="D13" s="84"/>
      <c r="E13" s="83"/>
      <c r="F13" s="83"/>
      <c r="G13" s="83"/>
      <c r="H13" s="83"/>
      <c r="I13" s="18" t="s">
        <v>29</v>
      </c>
      <c r="J13" s="18" t="s">
        <v>26</v>
      </c>
    </row>
    <row r="14" spans="1:12" x14ac:dyDescent="0.25">
      <c r="B14" s="85">
        <v>1</v>
      </c>
      <c r="C14" s="86">
        <v>0.84</v>
      </c>
      <c r="D14" s="11" t="str">
        <f>A5</f>
        <v>Alnus sp.</v>
      </c>
      <c r="E14" s="15">
        <f>GETPIVOTDATA("Suma de Densidad/Ha.",$A$3,"Especie","Alnus sp.")</f>
        <v>33.333333333333336</v>
      </c>
      <c r="F14" s="12">
        <f>GETPIVOTDATA("Promedio de DAP (cm)",$A$3,"Especie","Alnus sp.")</f>
        <v>24</v>
      </c>
      <c r="G14" s="12">
        <f>GETPIVOTDATA("Promedio de Altura (m)",$A$3,"Especie","Alnus sp.")</f>
        <v>11.6</v>
      </c>
      <c r="H14" s="12">
        <f>GETPIVOTDATA("Suma de AB/Ha.",$A$3,"Especie","Alnus sp.")</f>
        <v>1.9090456000000002</v>
      </c>
      <c r="I14" s="12">
        <f>GETPIVOTDATA("Suma de Volumen/Ha.",$A$3,"Especie","Alnus sp.")</f>
        <v>19.864192666666668</v>
      </c>
      <c r="J14" s="13">
        <f>I14*C14</f>
        <v>16.685921839999999</v>
      </c>
    </row>
    <row r="15" spans="1:12" s="1" customFormat="1" x14ac:dyDescent="0.25">
      <c r="B15" s="85"/>
      <c r="C15" s="86"/>
      <c r="D15" s="11" t="str">
        <f>A6</f>
        <v>Cupresus lusitanica</v>
      </c>
      <c r="E15" s="15">
        <f>GETPIVOTDATA("Suma de Densidad/Ha.",$A$3,"Especie","Cupresus lusitanica")</f>
        <v>20</v>
      </c>
      <c r="F15" s="12">
        <f>GETPIVOTDATA("Promedio de DAP (cm)",$A$3,"Especie","Cupresus lusitanica")</f>
        <v>15.666666666666666</v>
      </c>
      <c r="G15" s="12">
        <f>GETPIVOTDATA("Promedio de Altura (m)",$A$3,"Especie","Cupresus lusitanica")</f>
        <v>10</v>
      </c>
      <c r="H15" s="12">
        <f>GETPIVOTDATA("Suma de AB/Ha.",$A$3,"Especie","Cupresus lusitanica")</f>
        <v>0.38798760000000004</v>
      </c>
      <c r="I15" s="12">
        <f>GETPIVOTDATA("Suma de Volumen/Ha.",$A$3,"Especie","Cupresus lusitanica")</f>
        <v>1.6976258040000003</v>
      </c>
      <c r="J15" s="54">
        <f>I15*C14</f>
        <v>1.4260056753600001</v>
      </c>
    </row>
    <row r="16" spans="1:12" s="1" customFormat="1" x14ac:dyDescent="0.25">
      <c r="B16" s="85"/>
      <c r="C16" s="86"/>
      <c r="D16" s="11" t="str">
        <f>A7</f>
        <v>N. D</v>
      </c>
      <c r="E16" s="15">
        <f>GETPIVOTDATA("Suma de Densidad/Ha.",$A$3,"Especie","N. D")</f>
        <v>126.6666666666667</v>
      </c>
      <c r="F16" s="12">
        <f>GETPIVOTDATA("Promedio de DAP (cm)",$A$3,"Especie","N. D")</f>
        <v>25.05263157894737</v>
      </c>
      <c r="G16" s="12">
        <f>GETPIVOTDATA("Promedio de Altura (m)",$A$3,"Especie","N. D")</f>
        <v>12.631578947368421</v>
      </c>
      <c r="H16" s="12">
        <f>GETPIVOTDATA("Suma de AB/Ha.",$A$3,"Especie","N. D")</f>
        <v>6.8308856000000002</v>
      </c>
      <c r="I16" s="12">
        <f>GETPIVOTDATA("Suma de Volumen/Ha.",$A$3,"Especie","N. D")</f>
        <v>70.863171506666689</v>
      </c>
      <c r="J16" s="54">
        <f>I16*C14</f>
        <v>59.525064065600013</v>
      </c>
    </row>
    <row r="17" spans="2:10" s="1" customFormat="1" x14ac:dyDescent="0.25">
      <c r="B17" s="85"/>
      <c r="C17" s="86"/>
      <c r="D17" s="11" t="str">
        <f>A8</f>
        <v>Pinus psudostrobus</v>
      </c>
      <c r="E17" s="15">
        <f>GETPIVOTDATA("Suma de Densidad/Ha.",$A$3,"Especie","Pinus psudostrobus")</f>
        <v>26.666666666666668</v>
      </c>
      <c r="F17" s="12">
        <f>GETPIVOTDATA("Promedio de DAP (cm)",$A$3,"Especie","Pinus psudostrobus")</f>
        <v>31</v>
      </c>
      <c r="G17" s="12">
        <f>GETPIVOTDATA("Promedio de Altura (m)",$A$3,"Especie","Pinus psudostrobus")</f>
        <v>14.75</v>
      </c>
      <c r="H17" s="12">
        <f>GETPIVOTDATA("Suma de AB/Ha.",$A$3,"Especie","Pinus psudostrobus")</f>
        <v>2.157232</v>
      </c>
      <c r="I17" s="12">
        <f>GETPIVOTDATA("Suma de Volumen/Ha.",$A$3,"Especie","Pinus psudostrobus")</f>
        <v>12.936134346666666</v>
      </c>
      <c r="J17" s="54">
        <f>I17*C14</f>
        <v>10.866352851199998</v>
      </c>
    </row>
    <row r="18" spans="2:10" x14ac:dyDescent="0.25">
      <c r="B18" s="85"/>
      <c r="C18" s="86"/>
      <c r="D18" s="16" t="s">
        <v>12</v>
      </c>
      <c r="E18" s="17">
        <f>SUM(E14:E17)</f>
        <v>206.66666666666669</v>
      </c>
      <c r="F18" s="69">
        <f>GETPIVOTDATA("Promedio de DAP (cm)",$A$3)</f>
        <v>24.741935483870968</v>
      </c>
      <c r="G18" s="69">
        <f>GETPIVOTDATA("Promedio de Altura (m)",$A$3)</f>
        <v>12.483870967741936</v>
      </c>
      <c r="H18" s="69">
        <f>GETPIVOTDATA("Suma de AB/Ha.",$A$3)</f>
        <v>11.2851508</v>
      </c>
      <c r="I18" s="69">
        <f>GETPIVOTDATA("Suma de Volumen/Ha.",$A$3)</f>
        <v>105.36112432399999</v>
      </c>
      <c r="J18" s="70">
        <f>I18*C14</f>
        <v>88.503344432159992</v>
      </c>
    </row>
  </sheetData>
  <mergeCells count="10">
    <mergeCell ref="H12:H13"/>
    <mergeCell ref="I12:J12"/>
    <mergeCell ref="B14:B18"/>
    <mergeCell ref="C14:C18"/>
    <mergeCell ref="B12:B13"/>
    <mergeCell ref="C12:C13"/>
    <mergeCell ref="D12:D13"/>
    <mergeCell ref="E12:E13"/>
    <mergeCell ref="F12:F13"/>
    <mergeCell ref="G12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workbookViewId="0">
      <selection activeCell="G5" sqref="G5"/>
    </sheetView>
  </sheetViews>
  <sheetFormatPr baseColWidth="10" defaultColWidth="11.42578125" defaultRowHeight="15" x14ac:dyDescent="0.25"/>
  <cols>
    <col min="1" max="1" width="18.42578125" bestFit="1" customWidth="1"/>
    <col min="2" max="2" width="13" bestFit="1" customWidth="1"/>
    <col min="3" max="4" width="12.42578125" bestFit="1" customWidth="1"/>
    <col min="5" max="5" width="8.5703125" bestFit="1" customWidth="1"/>
    <col min="6" max="6" width="12.85546875" bestFit="1" customWidth="1"/>
    <col min="7" max="7" width="10.42578125" customWidth="1"/>
  </cols>
  <sheetData>
    <row r="3" spans="1:7" x14ac:dyDescent="0.25">
      <c r="B3" s="4" t="s">
        <v>15</v>
      </c>
    </row>
    <row r="4" spans="1:7" ht="30" x14ac:dyDescent="0.25">
      <c r="A4" s="48" t="s">
        <v>31</v>
      </c>
      <c r="B4" s="28" t="s">
        <v>14</v>
      </c>
      <c r="C4" s="28" t="s">
        <v>16</v>
      </c>
      <c r="D4" s="28" t="s">
        <v>17</v>
      </c>
      <c r="E4" s="28" t="s">
        <v>18</v>
      </c>
      <c r="F4" s="48" t="s">
        <v>19</v>
      </c>
      <c r="G4" s="21" t="s">
        <v>30</v>
      </c>
    </row>
    <row r="5" spans="1:7" x14ac:dyDescent="0.25">
      <c r="A5" s="47">
        <v>1</v>
      </c>
      <c r="B5" s="25">
        <v>59.999999999999993</v>
      </c>
      <c r="C5" s="26">
        <v>26.444444444444443</v>
      </c>
      <c r="D5" s="26">
        <v>13.111111111111111</v>
      </c>
      <c r="E5" s="26">
        <v>4.013917600000001</v>
      </c>
      <c r="F5" s="46">
        <v>33.337581684</v>
      </c>
      <c r="G5" s="27">
        <f>F5*0.84</f>
        <v>28.003568614559999</v>
      </c>
    </row>
    <row r="6" spans="1:7" x14ac:dyDescent="0.25">
      <c r="A6" s="47">
        <v>2</v>
      </c>
      <c r="B6" s="25">
        <v>93.333333333333343</v>
      </c>
      <c r="C6" s="26">
        <v>21.571428571428573</v>
      </c>
      <c r="D6" s="26">
        <v>10.5</v>
      </c>
      <c r="E6" s="26">
        <v>3.6515864000000002</v>
      </c>
      <c r="F6" s="46">
        <v>34.19576996133334</v>
      </c>
      <c r="G6" s="27">
        <f t="shared" ref="G6:G8" si="0">F6*0.84</f>
        <v>28.724446767520003</v>
      </c>
    </row>
    <row r="7" spans="1:7" x14ac:dyDescent="0.25">
      <c r="A7" s="47">
        <v>3</v>
      </c>
      <c r="B7" s="25">
        <v>53.333333333333329</v>
      </c>
      <c r="C7" s="26">
        <v>28.375</v>
      </c>
      <c r="D7" s="26">
        <v>15.25</v>
      </c>
      <c r="E7" s="26">
        <v>3.6196467999999999</v>
      </c>
      <c r="F7" s="46">
        <v>37.827772678666669</v>
      </c>
      <c r="G7" s="27">
        <f t="shared" si="0"/>
        <v>31.77532905008</v>
      </c>
    </row>
    <row r="8" spans="1:7" x14ac:dyDescent="0.25">
      <c r="A8" s="50" t="s">
        <v>12</v>
      </c>
      <c r="B8" s="29">
        <v>206.6666666666666</v>
      </c>
      <c r="C8" s="30">
        <v>24.741935483870968</v>
      </c>
      <c r="D8" s="30">
        <v>12.483870967741936</v>
      </c>
      <c r="E8" s="30">
        <v>11.285150800000002</v>
      </c>
      <c r="F8" s="49">
        <v>105.36112432399999</v>
      </c>
      <c r="G8" s="73">
        <f t="shared" si="0"/>
        <v>88.503344432159992</v>
      </c>
    </row>
    <row r="9" spans="1:7" x14ac:dyDescent="0.25">
      <c r="G9" s="7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2"/>
  <sheetViews>
    <sheetView topLeftCell="A5" workbookViewId="0">
      <selection activeCell="A4" sqref="A4:G20"/>
    </sheetView>
  </sheetViews>
  <sheetFormatPr baseColWidth="10" defaultColWidth="11.42578125" defaultRowHeight="15" x14ac:dyDescent="0.25"/>
  <cols>
    <col min="1" max="1" width="20.28515625" bestFit="1" customWidth="1"/>
    <col min="2" max="4" width="12.42578125" bestFit="1" customWidth="1"/>
    <col min="5" max="5" width="8.5703125" bestFit="1" customWidth="1"/>
    <col min="6" max="6" width="12.85546875" bestFit="1" customWidth="1"/>
    <col min="7" max="7" width="10.42578125" customWidth="1"/>
  </cols>
  <sheetData>
    <row r="3" spans="1:8" x14ac:dyDescent="0.25">
      <c r="B3" s="4" t="s">
        <v>15</v>
      </c>
    </row>
    <row r="4" spans="1:8" ht="45" x14ac:dyDescent="0.25">
      <c r="A4" s="48" t="s">
        <v>33</v>
      </c>
      <c r="B4" s="28" t="s">
        <v>14</v>
      </c>
      <c r="C4" s="28" t="s">
        <v>16</v>
      </c>
      <c r="D4" s="28" t="s">
        <v>17</v>
      </c>
      <c r="E4" s="28" t="s">
        <v>18</v>
      </c>
      <c r="F4" s="48" t="s">
        <v>19</v>
      </c>
      <c r="G4" s="32" t="s">
        <v>32</v>
      </c>
    </row>
    <row r="5" spans="1:8" x14ac:dyDescent="0.25">
      <c r="A5" s="44" t="s">
        <v>54</v>
      </c>
      <c r="B5" s="23">
        <v>33.333333333333336</v>
      </c>
      <c r="C5" s="24">
        <v>24</v>
      </c>
      <c r="D5" s="24">
        <v>11.6</v>
      </c>
      <c r="E5" s="24">
        <v>1.9090456000000002</v>
      </c>
      <c r="F5" s="45">
        <v>19.864192666666668</v>
      </c>
      <c r="G5" s="14">
        <f>F5*0.84</f>
        <v>16.685921839999999</v>
      </c>
    </row>
    <row r="6" spans="1:8" x14ac:dyDescent="0.25">
      <c r="A6" s="6" t="s">
        <v>51</v>
      </c>
      <c r="B6" s="23">
        <v>13.333333333333334</v>
      </c>
      <c r="C6" s="24">
        <v>15</v>
      </c>
      <c r="D6" s="24">
        <v>11</v>
      </c>
      <c r="E6" s="24">
        <v>0.23980880000000004</v>
      </c>
      <c r="F6" s="45">
        <v>3.0434424933333335</v>
      </c>
      <c r="G6" s="74">
        <f t="shared" ref="G6:G20" si="0">F6*0.84</f>
        <v>2.5564916944</v>
      </c>
    </row>
    <row r="7" spans="1:8" x14ac:dyDescent="0.25">
      <c r="A7" s="6" t="s">
        <v>52</v>
      </c>
      <c r="B7" s="23">
        <v>13.333333333333334</v>
      </c>
      <c r="C7" s="24">
        <v>21</v>
      </c>
      <c r="D7" s="24">
        <v>9.5</v>
      </c>
      <c r="E7" s="24">
        <v>0.46286240000000001</v>
      </c>
      <c r="F7" s="45">
        <v>3.9566828533333336</v>
      </c>
      <c r="G7" s="74">
        <f t="shared" si="0"/>
        <v>3.3236135968</v>
      </c>
    </row>
    <row r="8" spans="1:8" x14ac:dyDescent="0.25">
      <c r="A8" s="6" t="s">
        <v>65</v>
      </c>
      <c r="B8" s="23">
        <v>6.666666666666667</v>
      </c>
      <c r="C8" s="24">
        <v>48</v>
      </c>
      <c r="D8" s="24">
        <v>17</v>
      </c>
      <c r="E8" s="24">
        <v>1.2063744000000001</v>
      </c>
      <c r="F8" s="45">
        <v>12.864067320000002</v>
      </c>
      <c r="G8" s="74">
        <f t="shared" si="0"/>
        <v>10.805816548800001</v>
      </c>
    </row>
    <row r="9" spans="1:8" x14ac:dyDescent="0.25">
      <c r="A9" s="44" t="s">
        <v>60</v>
      </c>
      <c r="B9" s="23">
        <v>20</v>
      </c>
      <c r="C9" s="24">
        <v>15.666666666666666</v>
      </c>
      <c r="D9" s="24">
        <v>10</v>
      </c>
      <c r="E9" s="24">
        <v>0.38798760000000004</v>
      </c>
      <c r="F9" s="45">
        <v>1.6976258040000003</v>
      </c>
      <c r="G9" s="14">
        <f t="shared" si="0"/>
        <v>1.4260056753600001</v>
      </c>
    </row>
    <row r="10" spans="1:8" x14ac:dyDescent="0.25">
      <c r="A10" s="6" t="s">
        <v>51</v>
      </c>
      <c r="B10" s="23">
        <v>20</v>
      </c>
      <c r="C10" s="24">
        <v>15.666666666666666</v>
      </c>
      <c r="D10" s="24">
        <v>10</v>
      </c>
      <c r="E10" s="24">
        <v>0.38798760000000004</v>
      </c>
      <c r="F10" s="45">
        <v>1.6976258040000003</v>
      </c>
      <c r="G10" s="74">
        <f t="shared" si="0"/>
        <v>1.4260056753600001</v>
      </c>
    </row>
    <row r="11" spans="1:8" x14ac:dyDescent="0.25">
      <c r="A11" s="44" t="s">
        <v>61</v>
      </c>
      <c r="B11" s="23">
        <v>126.6666666666667</v>
      </c>
      <c r="C11" s="24">
        <v>25.05263157894737</v>
      </c>
      <c r="D11" s="24">
        <v>12.631578947368421</v>
      </c>
      <c r="E11" s="24">
        <v>6.8308856000000011</v>
      </c>
      <c r="F11" s="45">
        <v>70.863171506666674</v>
      </c>
      <c r="G11" s="14">
        <f t="shared" si="0"/>
        <v>59.525064065600006</v>
      </c>
      <c r="H11" s="52"/>
    </row>
    <row r="12" spans="1:8" x14ac:dyDescent="0.25">
      <c r="A12" s="6" t="s">
        <v>51</v>
      </c>
      <c r="B12" s="23">
        <v>40</v>
      </c>
      <c r="C12" s="24">
        <v>15.833333333333334</v>
      </c>
      <c r="D12" s="24">
        <v>8.6666666666666661</v>
      </c>
      <c r="E12" s="24">
        <v>0.80896199999999996</v>
      </c>
      <c r="F12" s="45">
        <v>8.4666317533333348</v>
      </c>
      <c r="G12" s="74">
        <f t="shared" si="0"/>
        <v>7.1119706728000009</v>
      </c>
      <c r="H12" s="52"/>
    </row>
    <row r="13" spans="1:8" x14ac:dyDescent="0.25">
      <c r="A13" s="6" t="s">
        <v>52</v>
      </c>
      <c r="B13" s="23">
        <v>26.666666666666668</v>
      </c>
      <c r="C13" s="24">
        <v>22.75</v>
      </c>
      <c r="D13" s="24">
        <v>13</v>
      </c>
      <c r="E13" s="24">
        <v>1.0875172</v>
      </c>
      <c r="F13" s="45">
        <v>11.243934080000001</v>
      </c>
      <c r="G13" s="74">
        <f t="shared" si="0"/>
        <v>9.4449046271999997</v>
      </c>
      <c r="H13" s="52"/>
    </row>
    <row r="14" spans="1:8" x14ac:dyDescent="0.25">
      <c r="A14" s="6" t="s">
        <v>63</v>
      </c>
      <c r="B14" s="23">
        <v>53.333333333333329</v>
      </c>
      <c r="C14" s="24">
        <v>31.25</v>
      </c>
      <c r="D14" s="24">
        <v>14.75</v>
      </c>
      <c r="E14" s="24">
        <v>4.0966464000000009</v>
      </c>
      <c r="F14" s="45">
        <v>41.50254923333334</v>
      </c>
      <c r="G14" s="74">
        <f t="shared" si="0"/>
        <v>34.862141356000002</v>
      </c>
      <c r="H14" s="52"/>
    </row>
    <row r="15" spans="1:8" x14ac:dyDescent="0.25">
      <c r="A15" s="6" t="s">
        <v>65</v>
      </c>
      <c r="B15" s="23">
        <v>6.666666666666667</v>
      </c>
      <c r="C15" s="24">
        <v>40</v>
      </c>
      <c r="D15" s="24">
        <v>18</v>
      </c>
      <c r="E15" s="24">
        <v>0.83776000000000017</v>
      </c>
      <c r="F15" s="45">
        <v>9.6500564400000002</v>
      </c>
      <c r="G15" s="74">
        <f t="shared" si="0"/>
        <v>8.1060474096000004</v>
      </c>
      <c r="H15" s="52"/>
    </row>
    <row r="16" spans="1:8" x14ac:dyDescent="0.25">
      <c r="A16" s="44" t="s">
        <v>62</v>
      </c>
      <c r="B16" s="23">
        <v>26.666666666666668</v>
      </c>
      <c r="C16" s="24">
        <v>31</v>
      </c>
      <c r="D16" s="24">
        <v>14.75</v>
      </c>
      <c r="E16" s="24">
        <v>2.157232</v>
      </c>
      <c r="F16" s="45">
        <v>12.936134346666666</v>
      </c>
      <c r="G16" s="14">
        <f t="shared" si="0"/>
        <v>10.866352851199998</v>
      </c>
    </row>
    <row r="17" spans="1:7" x14ac:dyDescent="0.25">
      <c r="A17" s="6" t="s">
        <v>51</v>
      </c>
      <c r="B17" s="23">
        <v>6.666666666666667</v>
      </c>
      <c r="C17" s="24">
        <v>18</v>
      </c>
      <c r="D17" s="24">
        <v>8</v>
      </c>
      <c r="E17" s="24">
        <v>0.1696464</v>
      </c>
      <c r="F17" s="45">
        <v>0.528172368</v>
      </c>
      <c r="G17" s="74">
        <f t="shared" si="0"/>
        <v>0.44366478912000001</v>
      </c>
    </row>
    <row r="18" spans="1:7" x14ac:dyDescent="0.25">
      <c r="A18" s="6" t="s">
        <v>63</v>
      </c>
      <c r="B18" s="23">
        <v>13.333333333333334</v>
      </c>
      <c r="C18" s="24">
        <v>33</v>
      </c>
      <c r="D18" s="24">
        <v>17</v>
      </c>
      <c r="E18" s="24">
        <v>1.1498256</v>
      </c>
      <c r="F18" s="45">
        <v>7.1870112000000006</v>
      </c>
      <c r="G18" s="74">
        <f t="shared" si="0"/>
        <v>6.0370894079999999</v>
      </c>
    </row>
    <row r="19" spans="1:7" x14ac:dyDescent="0.25">
      <c r="A19" s="6" t="s">
        <v>65</v>
      </c>
      <c r="B19" s="23">
        <v>6.666666666666667</v>
      </c>
      <c r="C19" s="24">
        <v>40</v>
      </c>
      <c r="D19" s="24">
        <v>17</v>
      </c>
      <c r="E19" s="24">
        <v>0.83776000000000017</v>
      </c>
      <c r="F19" s="45">
        <v>5.2209507786666665</v>
      </c>
      <c r="G19" s="74">
        <f t="shared" si="0"/>
        <v>4.3855986540799998</v>
      </c>
    </row>
    <row r="20" spans="1:7" x14ac:dyDescent="0.25">
      <c r="A20" s="51" t="s">
        <v>12</v>
      </c>
      <c r="B20" s="42">
        <v>206.6666666666666</v>
      </c>
      <c r="C20" s="43">
        <v>24.741935483870968</v>
      </c>
      <c r="D20" s="43">
        <v>12.483870967741936</v>
      </c>
      <c r="E20" s="43">
        <v>11.2851508</v>
      </c>
      <c r="F20" s="68">
        <v>105.361124324</v>
      </c>
      <c r="G20" s="31">
        <f t="shared" si="0"/>
        <v>88.503344432159992</v>
      </c>
    </row>
    <row r="21" spans="1:7" x14ac:dyDescent="0.25">
      <c r="G21" s="14"/>
    </row>
    <row r="22" spans="1:7" x14ac:dyDescent="0.25">
      <c r="G22" s="14"/>
    </row>
  </sheetData>
  <pageMargins left="0.7" right="0.7" top="0.75" bottom="0.75" header="0.3" footer="0.3"/>
  <pageSetup orientation="portrait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workbookViewId="0">
      <selection activeCell="C11" sqref="C11"/>
    </sheetView>
  </sheetViews>
  <sheetFormatPr baseColWidth="10" defaultColWidth="11.42578125" defaultRowHeight="15" x14ac:dyDescent="0.25"/>
  <cols>
    <col min="5" max="5" width="21.140625" customWidth="1"/>
    <col min="6" max="6" width="12.85546875" customWidth="1"/>
  </cols>
  <sheetData>
    <row r="3" spans="2:6" x14ac:dyDescent="0.25">
      <c r="B3" s="88" t="s">
        <v>34</v>
      </c>
      <c r="C3" s="88"/>
      <c r="D3" s="33" t="s">
        <v>35</v>
      </c>
      <c r="E3" s="33" t="s">
        <v>36</v>
      </c>
      <c r="F3" s="34" t="s">
        <v>37</v>
      </c>
    </row>
    <row r="4" spans="2:6" x14ac:dyDescent="0.25">
      <c r="B4" s="88"/>
      <c r="C4" s="88"/>
      <c r="D4" s="35">
        <v>0.84</v>
      </c>
      <c r="E4" s="35">
        <v>2.92</v>
      </c>
      <c r="F4" s="35">
        <v>3</v>
      </c>
    </row>
    <row r="5" spans="2:6" x14ac:dyDescent="0.25">
      <c r="B5" s="33" t="s">
        <v>38</v>
      </c>
      <c r="C5" s="33" t="s">
        <v>39</v>
      </c>
      <c r="D5" s="33" t="s">
        <v>40</v>
      </c>
      <c r="E5" s="33" t="s">
        <v>41</v>
      </c>
      <c r="F5" s="33" t="s">
        <v>42</v>
      </c>
    </row>
    <row r="6" spans="2:6" x14ac:dyDescent="0.25">
      <c r="B6" s="33">
        <v>1</v>
      </c>
      <c r="C6" s="46">
        <v>33.337581684</v>
      </c>
      <c r="D6" s="36">
        <f>C6*C6</f>
        <v>1111.3943525373722</v>
      </c>
      <c r="E6" s="33" t="s">
        <v>43</v>
      </c>
      <c r="F6" s="37">
        <f>C16/F4</f>
        <v>35.120374774666665</v>
      </c>
    </row>
    <row r="7" spans="2:6" x14ac:dyDescent="0.25">
      <c r="B7" s="33">
        <v>2</v>
      </c>
      <c r="C7" s="46">
        <v>34.19576996133334</v>
      </c>
      <c r="D7" s="36">
        <f>C7*C7</f>
        <v>1169.3506832484277</v>
      </c>
      <c r="E7" s="33" t="s">
        <v>44</v>
      </c>
      <c r="F7" s="38">
        <f>(((D16)-((C16*C16)/F4))/(F4-1))</f>
        <v>5.6816243377759292</v>
      </c>
    </row>
    <row r="8" spans="2:6" x14ac:dyDescent="0.25">
      <c r="B8" s="33">
        <v>3</v>
      </c>
      <c r="C8" s="46">
        <v>37.827772678666669</v>
      </c>
      <c r="D8" s="36">
        <f>C8*C8</f>
        <v>1430.9403858288806</v>
      </c>
      <c r="E8" s="33" t="s">
        <v>45</v>
      </c>
      <c r="F8" s="38">
        <f>SQRT(F7)</f>
        <v>2.383615811697835</v>
      </c>
    </row>
    <row r="9" spans="2:6" x14ac:dyDescent="0.25">
      <c r="B9" s="33"/>
      <c r="C9" s="46"/>
      <c r="D9" s="36">
        <f t="shared" ref="D9:D15" si="0">C9*C9</f>
        <v>0</v>
      </c>
      <c r="E9" s="33" t="s">
        <v>46</v>
      </c>
      <c r="F9" s="38">
        <f>SQRT(((F7)/F4)*(1-((F4)/(D4*10))))</f>
        <v>1.1033997143027605</v>
      </c>
    </row>
    <row r="10" spans="2:6" x14ac:dyDescent="0.25">
      <c r="B10" s="55"/>
      <c r="C10" s="46"/>
      <c r="D10" s="36">
        <f t="shared" si="0"/>
        <v>0</v>
      </c>
      <c r="E10" s="33" t="s">
        <v>47</v>
      </c>
      <c r="F10" s="38">
        <f>F9*E4</f>
        <v>3.2219271657640607</v>
      </c>
    </row>
    <row r="11" spans="2:6" x14ac:dyDescent="0.25">
      <c r="B11" s="55"/>
      <c r="C11" s="46"/>
      <c r="D11" s="36">
        <f t="shared" si="0"/>
        <v>0</v>
      </c>
      <c r="E11" s="33" t="s">
        <v>47</v>
      </c>
      <c r="F11" s="40">
        <f>((F10)/F6)</f>
        <v>9.1739543966601667E-2</v>
      </c>
    </row>
    <row r="12" spans="2:6" x14ac:dyDescent="0.25">
      <c r="B12" s="33"/>
      <c r="C12" s="39"/>
      <c r="D12" s="36">
        <f t="shared" si="0"/>
        <v>0</v>
      </c>
      <c r="E12" s="33" t="s">
        <v>48</v>
      </c>
      <c r="F12" s="38">
        <f>F6+F10</f>
        <v>38.342301940430723</v>
      </c>
    </row>
    <row r="13" spans="2:6" x14ac:dyDescent="0.25">
      <c r="B13" s="33"/>
      <c r="C13" s="39"/>
      <c r="D13" s="36">
        <f t="shared" si="0"/>
        <v>0</v>
      </c>
      <c r="E13" s="33" t="s">
        <v>49</v>
      </c>
      <c r="F13" s="38">
        <f>F6-F10</f>
        <v>31.898447608902604</v>
      </c>
    </row>
    <row r="14" spans="2:6" x14ac:dyDescent="0.25">
      <c r="B14" s="33"/>
      <c r="C14" s="39"/>
      <c r="D14" s="36">
        <f t="shared" si="0"/>
        <v>0</v>
      </c>
      <c r="E14" s="33"/>
      <c r="F14" s="38"/>
    </row>
    <row r="15" spans="2:6" x14ac:dyDescent="0.25">
      <c r="B15" s="33"/>
      <c r="C15" s="39"/>
      <c r="D15" s="36">
        <f t="shared" si="0"/>
        <v>0</v>
      </c>
      <c r="E15" s="33"/>
      <c r="F15" s="38"/>
    </row>
    <row r="16" spans="2:6" x14ac:dyDescent="0.25">
      <c r="B16" s="33" t="s">
        <v>50</v>
      </c>
      <c r="C16" s="41">
        <f>SUM(C6:C15)</f>
        <v>105.361124324</v>
      </c>
      <c r="D16" s="41">
        <f>SUM(D6:D15)</f>
        <v>3711.6854216146803</v>
      </c>
      <c r="E16" s="33"/>
      <c r="F16" s="33"/>
    </row>
  </sheetData>
  <mergeCells count="1">
    <mergeCell ref="B3:C4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" sqref="D1:G2"/>
    </sheetView>
  </sheetViews>
  <sheetFormatPr baseColWidth="10" defaultColWidth="11.42578125" defaultRowHeight="15" x14ac:dyDescent="0.25"/>
  <sheetData>
    <row r="1" spans="1:3" x14ac:dyDescent="0.25">
      <c r="A1" s="76" t="s">
        <v>20</v>
      </c>
      <c r="B1" s="76" t="s">
        <v>68</v>
      </c>
      <c r="C1" s="76" t="s">
        <v>69</v>
      </c>
    </row>
    <row r="2" spans="1:3" x14ac:dyDescent="0.25">
      <c r="A2" s="76">
        <v>1</v>
      </c>
      <c r="B2" s="76">
        <v>391993</v>
      </c>
      <c r="C2" s="76">
        <v>1724562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E1" sqref="E1"/>
    </sheetView>
  </sheetViews>
  <sheetFormatPr baseColWidth="10" defaultColWidth="11.42578125" defaultRowHeight="15" x14ac:dyDescent="0.25"/>
  <cols>
    <col min="1" max="1" width="11.42578125" style="1"/>
    <col min="5" max="5" width="14" bestFit="1" customWidth="1"/>
    <col min="6" max="6" width="11.7109375" bestFit="1" customWidth="1"/>
    <col min="8" max="8" width="16.7109375" bestFit="1" customWidth="1"/>
  </cols>
  <sheetData>
    <row r="1" spans="1:11" x14ac:dyDescent="0.25">
      <c r="A1" s="80" t="s">
        <v>75</v>
      </c>
      <c r="B1" s="76" t="s">
        <v>20</v>
      </c>
      <c r="C1" s="76" t="s">
        <v>68</v>
      </c>
      <c r="D1" s="76" t="s">
        <v>69</v>
      </c>
      <c r="E1" s="77" t="s">
        <v>71</v>
      </c>
      <c r="F1" s="77" t="s">
        <v>72</v>
      </c>
      <c r="G1" s="77" t="s">
        <v>73</v>
      </c>
      <c r="H1" s="80" t="s">
        <v>76</v>
      </c>
      <c r="I1" s="80" t="s">
        <v>77</v>
      </c>
      <c r="J1" s="80" t="s">
        <v>78</v>
      </c>
      <c r="K1" s="77" t="s">
        <v>74</v>
      </c>
    </row>
    <row r="2" spans="1:11" x14ac:dyDescent="0.25">
      <c r="A2" s="81" t="s">
        <v>79</v>
      </c>
      <c r="B2" s="76">
        <v>1</v>
      </c>
      <c r="C2" s="76">
        <v>391929</v>
      </c>
      <c r="D2" s="76">
        <v>1724568</v>
      </c>
      <c r="E2" s="78">
        <f>500/10000</f>
        <v>0.05</v>
      </c>
      <c r="F2" s="1"/>
      <c r="G2" s="79">
        <v>41306</v>
      </c>
      <c r="K2" t="s">
        <v>70</v>
      </c>
    </row>
    <row r="3" spans="1:11" x14ac:dyDescent="0.25">
      <c r="A3" s="81" t="s">
        <v>79</v>
      </c>
      <c r="B3" s="76">
        <v>2</v>
      </c>
      <c r="C3" s="76">
        <v>391904</v>
      </c>
      <c r="D3" s="76">
        <v>1724616</v>
      </c>
      <c r="E3" s="78">
        <f t="shared" ref="E3:E4" si="0">500/10000</f>
        <v>0.05</v>
      </c>
      <c r="F3" s="1"/>
      <c r="G3" s="79">
        <v>41306</v>
      </c>
      <c r="K3" s="1" t="s">
        <v>70</v>
      </c>
    </row>
    <row r="4" spans="1:11" x14ac:dyDescent="0.25">
      <c r="A4" s="81" t="s">
        <v>79</v>
      </c>
      <c r="B4" s="76">
        <v>3</v>
      </c>
      <c r="C4" s="76">
        <v>391969</v>
      </c>
      <c r="D4" s="76">
        <v>1724591</v>
      </c>
      <c r="E4" s="78">
        <f t="shared" si="0"/>
        <v>0.05</v>
      </c>
      <c r="F4" s="1"/>
      <c r="G4" s="79">
        <v>41306</v>
      </c>
      <c r="K4" s="1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base de datos</vt:lpstr>
      <vt:lpstr>% de abundancia</vt:lpstr>
      <vt:lpstr>cuadro 3</vt:lpstr>
      <vt:lpstr>anexo 2</vt:lpstr>
      <vt:lpstr>anexo 3</vt:lpstr>
      <vt:lpstr>analisis</vt:lpstr>
      <vt:lpstr>P. referencia</vt:lpstr>
      <vt:lpstr>parcelas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DangerGo</cp:lastModifiedBy>
  <cp:lastPrinted>2013-10-30T04:25:04Z</cp:lastPrinted>
  <dcterms:created xsi:type="dcterms:W3CDTF">2013-02-20T15:36:32Z</dcterms:created>
  <dcterms:modified xsi:type="dcterms:W3CDTF">2017-03-26T23:53:49Z</dcterms:modified>
</cp:coreProperties>
</file>