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CARBONO_REDD+GT\ASINFOR\HENRY_LOPEZ_IF_2013\"/>
    </mc:Choice>
  </mc:AlternateContent>
  <bookViews>
    <workbookView xWindow="240" yWindow="75" windowWidth="15480" windowHeight="7995" activeTab="7"/>
  </bookViews>
  <sheets>
    <sheet name="base de datos" sheetId="1" r:id="rId1"/>
    <sheet name="% de abundancia" sheetId="4" r:id="rId2"/>
    <sheet name="cuadro 3" sheetId="5" r:id="rId3"/>
    <sheet name="anexo 2" sheetId="6" r:id="rId4"/>
    <sheet name="anexo 3" sheetId="7" r:id="rId5"/>
    <sheet name="analisis" sheetId="2" r:id="rId6"/>
    <sheet name="P. referencia" sheetId="8" r:id="rId7"/>
    <sheet name="Parcelas" sheetId="9" r:id="rId8"/>
  </sheets>
  <definedNames>
    <definedName name="_xlnm._FilterDatabase" localSheetId="0" hidden="1">'base de datos'!$A$1:$L$80</definedName>
  </definedNames>
  <calcPr calcId="152511"/>
  <pivotCaches>
    <pivotCache cacheId="48" r:id="rId9"/>
    <pivotCache cacheId="49" r:id="rId10"/>
  </pivotCaches>
</workbook>
</file>

<file path=xl/calcChain.xml><?xml version="1.0" encoding="utf-8"?>
<calcChain xmlns="http://schemas.openxmlformats.org/spreadsheetml/2006/main">
  <c r="E6" i="9" l="1"/>
  <c r="E5" i="9"/>
  <c r="E4" i="9"/>
  <c r="E3" i="9"/>
  <c r="E2" i="9"/>
  <c r="J66" i="1" l="1"/>
  <c r="J65" i="1"/>
  <c r="H66" i="1"/>
  <c r="H65" i="1"/>
  <c r="J63" i="1"/>
  <c r="J62" i="1"/>
  <c r="H63" i="1"/>
  <c r="H62" i="1"/>
  <c r="J14" i="1"/>
  <c r="J13" i="1"/>
  <c r="J12" i="1"/>
  <c r="J11" i="1"/>
  <c r="H14" i="1"/>
  <c r="H13" i="1"/>
  <c r="H12" i="1"/>
  <c r="H11" i="1"/>
  <c r="J60" i="1"/>
  <c r="J59" i="1"/>
  <c r="J58" i="1"/>
  <c r="H60" i="1"/>
  <c r="H59" i="1"/>
  <c r="H58" i="1"/>
  <c r="J10" i="1"/>
  <c r="J9" i="1"/>
  <c r="J8" i="1"/>
  <c r="H10" i="1"/>
  <c r="H9" i="1"/>
  <c r="H8" i="1"/>
  <c r="G13" i="7"/>
  <c r="G14" i="7"/>
  <c r="G15" i="7"/>
  <c r="G16" i="7"/>
  <c r="G17" i="7"/>
  <c r="G18" i="7"/>
  <c r="G10" i="7"/>
  <c r="G9" i="7"/>
  <c r="G8" i="7"/>
  <c r="G7" i="7"/>
  <c r="G6" i="7"/>
  <c r="G5" i="7"/>
  <c r="G9" i="6"/>
  <c r="G8" i="6"/>
  <c r="G7" i="6"/>
  <c r="G6" i="6"/>
  <c r="G5" i="6"/>
  <c r="D16" i="5"/>
  <c r="E16" i="4"/>
  <c r="D16" i="4"/>
  <c r="H80" i="1"/>
  <c r="H79" i="1"/>
  <c r="J80" i="1"/>
  <c r="J79" i="1"/>
  <c r="J78" i="1"/>
  <c r="H78" i="1"/>
  <c r="H77" i="1"/>
  <c r="H67" i="1"/>
  <c r="H64" i="1"/>
  <c r="H30" i="1"/>
  <c r="H29" i="1"/>
  <c r="J77" i="1"/>
  <c r="J67" i="1"/>
  <c r="J64" i="1"/>
  <c r="J30" i="1"/>
  <c r="J29" i="1"/>
  <c r="J27" i="1"/>
  <c r="J5" i="1"/>
  <c r="J76" i="1"/>
  <c r="H76" i="1"/>
  <c r="J75" i="1"/>
  <c r="H75" i="1"/>
  <c r="J74" i="1"/>
  <c r="H74" i="1"/>
  <c r="J73" i="1"/>
  <c r="H73" i="1"/>
  <c r="J72" i="1"/>
  <c r="H72" i="1"/>
  <c r="J71" i="1"/>
  <c r="H71" i="1"/>
  <c r="J70" i="1"/>
  <c r="H70" i="1"/>
  <c r="J69" i="1"/>
  <c r="H69" i="1"/>
  <c r="J68" i="1"/>
  <c r="H68" i="1"/>
  <c r="J61" i="1"/>
  <c r="H61" i="1"/>
  <c r="J57" i="1"/>
  <c r="H57" i="1"/>
  <c r="J56" i="1"/>
  <c r="H56" i="1"/>
  <c r="J55" i="1"/>
  <c r="H55" i="1"/>
  <c r="J54" i="1"/>
  <c r="H54" i="1"/>
  <c r="J53" i="1"/>
  <c r="H53" i="1"/>
  <c r="J52" i="1"/>
  <c r="H52" i="1"/>
  <c r="J51" i="1"/>
  <c r="H51" i="1"/>
  <c r="J50" i="1"/>
  <c r="H50" i="1"/>
  <c r="J49" i="1"/>
  <c r="H49" i="1"/>
  <c r="J48" i="1"/>
  <c r="H48" i="1"/>
  <c r="J47" i="1"/>
  <c r="H47" i="1"/>
  <c r="J46" i="1"/>
  <c r="H46" i="1"/>
  <c r="J45" i="1"/>
  <c r="H45" i="1"/>
  <c r="J44" i="1"/>
  <c r="H44" i="1"/>
  <c r="J43" i="1"/>
  <c r="H43" i="1"/>
  <c r="J42" i="1"/>
  <c r="H42" i="1"/>
  <c r="J41" i="1"/>
  <c r="H41" i="1"/>
  <c r="J40" i="1"/>
  <c r="H40" i="1"/>
  <c r="J39" i="1"/>
  <c r="H39" i="1"/>
  <c r="J38" i="1"/>
  <c r="H38" i="1"/>
  <c r="J37" i="1"/>
  <c r="H37" i="1"/>
  <c r="J36" i="1"/>
  <c r="H36" i="1"/>
  <c r="J35" i="1"/>
  <c r="H35" i="1"/>
  <c r="J34" i="1"/>
  <c r="H34" i="1"/>
  <c r="J33" i="1"/>
  <c r="H33" i="1"/>
  <c r="J32" i="1"/>
  <c r="H32" i="1"/>
  <c r="J31" i="1"/>
  <c r="H31" i="1"/>
  <c r="J28" i="1"/>
  <c r="H28" i="1"/>
  <c r="J26" i="1"/>
  <c r="J25" i="1"/>
  <c r="J24" i="1"/>
  <c r="J23" i="1"/>
  <c r="J22" i="1"/>
  <c r="J21" i="1"/>
  <c r="J20" i="1"/>
  <c r="J19" i="1"/>
  <c r="J18" i="1"/>
  <c r="J17" i="1"/>
  <c r="J16" i="1"/>
  <c r="J15" i="1"/>
  <c r="J7" i="1"/>
  <c r="J6" i="1"/>
  <c r="J4" i="1"/>
  <c r="J3" i="1"/>
  <c r="H18" i="1"/>
  <c r="J2" i="1"/>
  <c r="H3" i="1"/>
  <c r="O3" i="1"/>
  <c r="L4" i="1" s="1"/>
  <c r="D15" i="5"/>
  <c r="D14" i="5"/>
  <c r="E15" i="4"/>
  <c r="E14" i="4"/>
  <c r="D15" i="4"/>
  <c r="D14" i="4"/>
  <c r="K10" i="4"/>
  <c r="L7" i="5"/>
  <c r="C16" i="2"/>
  <c r="D15" i="2"/>
  <c r="D14" i="2"/>
  <c r="D13" i="2"/>
  <c r="D12" i="2"/>
  <c r="D11" i="2"/>
  <c r="D10" i="2"/>
  <c r="D9" i="2"/>
  <c r="D8" i="2"/>
  <c r="D7" i="2"/>
  <c r="F6" i="2"/>
  <c r="D6" i="2"/>
  <c r="H4" i="1"/>
  <c r="H5" i="1"/>
  <c r="H6" i="1"/>
  <c r="H7" i="1"/>
  <c r="H15" i="1"/>
  <c r="H16" i="1"/>
  <c r="H17" i="1"/>
  <c r="H19" i="1"/>
  <c r="H20" i="1"/>
  <c r="H21" i="1"/>
  <c r="H22" i="1"/>
  <c r="H23" i="1"/>
  <c r="H24" i="1"/>
  <c r="H25" i="1"/>
  <c r="H26" i="1"/>
  <c r="H27" i="1"/>
  <c r="H2" i="1"/>
  <c r="G21" i="7"/>
  <c r="I16" i="5"/>
  <c r="G16" i="5"/>
  <c r="E15" i="5"/>
  <c r="G19" i="7"/>
  <c r="F16" i="4"/>
  <c r="H17" i="5"/>
  <c r="F17" i="5"/>
  <c r="F15" i="4"/>
  <c r="F14" i="5"/>
  <c r="G17" i="5"/>
  <c r="G20" i="7"/>
  <c r="I15" i="5"/>
  <c r="G15" i="5"/>
  <c r="E14" i="5"/>
  <c r="G14" i="5"/>
  <c r="H16" i="5"/>
  <c r="F14" i="4"/>
  <c r="F15" i="5"/>
  <c r="G12" i="7"/>
  <c r="H14" i="5"/>
  <c r="G11" i="7"/>
  <c r="I14" i="5"/>
  <c r="G10" i="6"/>
  <c r="F16" i="5"/>
  <c r="H15" i="5"/>
  <c r="G22" i="7"/>
  <c r="E16" i="5"/>
  <c r="K66" i="1" l="1"/>
  <c r="K65" i="1"/>
  <c r="I66" i="1"/>
  <c r="L65" i="1"/>
  <c r="I65" i="1"/>
  <c r="L66" i="1"/>
  <c r="K58" i="1"/>
  <c r="I12" i="1"/>
  <c r="K12" i="1"/>
  <c r="I63" i="1"/>
  <c r="K63" i="1"/>
  <c r="L62" i="1"/>
  <c r="I11" i="1"/>
  <c r="I62" i="1"/>
  <c r="K62" i="1"/>
  <c r="L63" i="1"/>
  <c r="K9" i="1"/>
  <c r="I58" i="1"/>
  <c r="I60" i="1"/>
  <c r="K60" i="1"/>
  <c r="L60" i="1"/>
  <c r="L58" i="1"/>
  <c r="I14" i="1"/>
  <c r="K11" i="1"/>
  <c r="K14" i="1"/>
  <c r="L13" i="1"/>
  <c r="L11" i="1"/>
  <c r="I9" i="1"/>
  <c r="I59" i="1"/>
  <c r="K59" i="1"/>
  <c r="L59" i="1"/>
  <c r="I13" i="1"/>
  <c r="K13" i="1"/>
  <c r="L14" i="1"/>
  <c r="L12" i="1"/>
  <c r="D16" i="2"/>
  <c r="F7" i="2" s="1"/>
  <c r="F9" i="2" s="1"/>
  <c r="F10" i="2" s="1"/>
  <c r="F11" i="2" s="1"/>
  <c r="K2" i="1"/>
  <c r="I8" i="1"/>
  <c r="K8" i="1"/>
  <c r="L10" i="1"/>
  <c r="L8" i="1"/>
  <c r="I10" i="1"/>
  <c r="K10" i="1"/>
  <c r="L9" i="1"/>
  <c r="F17" i="4"/>
  <c r="G17" i="4" s="1"/>
  <c r="I27" i="1"/>
  <c r="I25" i="1"/>
  <c r="I23" i="1"/>
  <c r="I21" i="1"/>
  <c r="I19" i="1"/>
  <c r="I16" i="1"/>
  <c r="I7" i="1"/>
  <c r="I5" i="1"/>
  <c r="K80" i="1"/>
  <c r="E17" i="5"/>
  <c r="J16" i="5"/>
  <c r="I17" i="5"/>
  <c r="J17" i="5" s="1"/>
  <c r="I80" i="1"/>
  <c r="L80" i="1"/>
  <c r="I79" i="1"/>
  <c r="K79" i="1"/>
  <c r="L78" i="1"/>
  <c r="I78" i="1"/>
  <c r="L79" i="1"/>
  <c r="K78" i="1"/>
  <c r="I30" i="1"/>
  <c r="I67" i="1"/>
  <c r="I29" i="1"/>
  <c r="L29" i="1"/>
  <c r="K30" i="1"/>
  <c r="I64" i="1"/>
  <c r="L64" i="1"/>
  <c r="K67" i="1"/>
  <c r="I77" i="1"/>
  <c r="L77" i="1"/>
  <c r="K29" i="1"/>
  <c r="L30" i="1"/>
  <c r="K64" i="1"/>
  <c r="L67" i="1"/>
  <c r="K77" i="1"/>
  <c r="I73" i="1"/>
  <c r="K71" i="1"/>
  <c r="K73" i="1"/>
  <c r="K28" i="1"/>
  <c r="I31" i="1"/>
  <c r="L31" i="1"/>
  <c r="K32" i="1"/>
  <c r="I33" i="1"/>
  <c r="L33" i="1"/>
  <c r="K34" i="1"/>
  <c r="I35" i="1"/>
  <c r="L35" i="1"/>
  <c r="K36" i="1"/>
  <c r="I37" i="1"/>
  <c r="L37" i="1"/>
  <c r="K38" i="1"/>
  <c r="I39" i="1"/>
  <c r="L39" i="1"/>
  <c r="K40" i="1"/>
  <c r="I41" i="1"/>
  <c r="L41" i="1"/>
  <c r="K42" i="1"/>
  <c r="I43" i="1"/>
  <c r="L43" i="1"/>
  <c r="K44" i="1"/>
  <c r="I45" i="1"/>
  <c r="L45" i="1"/>
  <c r="K46" i="1"/>
  <c r="I47" i="1"/>
  <c r="L47" i="1"/>
  <c r="K48" i="1"/>
  <c r="I49" i="1"/>
  <c r="L49" i="1"/>
  <c r="K50" i="1"/>
  <c r="I51" i="1"/>
  <c r="L51" i="1"/>
  <c r="K52" i="1"/>
  <c r="I53" i="1"/>
  <c r="L53" i="1"/>
  <c r="K54" i="1"/>
  <c r="I55" i="1"/>
  <c r="L55" i="1"/>
  <c r="K56" i="1"/>
  <c r="I57" i="1"/>
  <c r="L57" i="1"/>
  <c r="K61" i="1"/>
  <c r="I68" i="1"/>
  <c r="L68" i="1"/>
  <c r="K69" i="1"/>
  <c r="I70" i="1"/>
  <c r="L70" i="1"/>
  <c r="L71" i="1"/>
  <c r="K72" i="1"/>
  <c r="L73" i="1"/>
  <c r="K74" i="1"/>
  <c r="I75" i="1"/>
  <c r="K75" i="1"/>
  <c r="I76" i="1"/>
  <c r="L76" i="1"/>
  <c r="I28" i="1"/>
  <c r="L28" i="1"/>
  <c r="K31" i="1"/>
  <c r="I32" i="1"/>
  <c r="L32" i="1"/>
  <c r="K33" i="1"/>
  <c r="I34" i="1"/>
  <c r="L34" i="1"/>
  <c r="K35" i="1"/>
  <c r="I36" i="1"/>
  <c r="L36" i="1"/>
  <c r="K37" i="1"/>
  <c r="I38" i="1"/>
  <c r="L38" i="1"/>
  <c r="K39" i="1"/>
  <c r="I40" i="1"/>
  <c r="L40" i="1"/>
  <c r="K41" i="1"/>
  <c r="I42" i="1"/>
  <c r="L42" i="1"/>
  <c r="K43" i="1"/>
  <c r="I44" i="1"/>
  <c r="L44" i="1"/>
  <c r="K45" i="1"/>
  <c r="I46" i="1"/>
  <c r="L46" i="1"/>
  <c r="K47" i="1"/>
  <c r="I48" i="1"/>
  <c r="L48" i="1"/>
  <c r="K49" i="1"/>
  <c r="I50" i="1"/>
  <c r="L50" i="1"/>
  <c r="K51" i="1"/>
  <c r="I52" i="1"/>
  <c r="L52" i="1"/>
  <c r="K53" i="1"/>
  <c r="I54" i="1"/>
  <c r="L54" i="1"/>
  <c r="K55" i="1"/>
  <c r="I56" i="1"/>
  <c r="L56" i="1"/>
  <c r="K57" i="1"/>
  <c r="I61" i="1"/>
  <c r="L61" i="1"/>
  <c r="K68" i="1"/>
  <c r="I69" i="1"/>
  <c r="L69" i="1"/>
  <c r="K70" i="1"/>
  <c r="I71" i="1"/>
  <c r="I72" i="1"/>
  <c r="L72" i="1"/>
  <c r="I74" i="1"/>
  <c r="L74" i="1"/>
  <c r="L75" i="1"/>
  <c r="K76" i="1"/>
  <c r="I2" i="1"/>
  <c r="I26" i="1"/>
  <c r="I24" i="1"/>
  <c r="I22" i="1"/>
  <c r="I20" i="1"/>
  <c r="I17" i="1"/>
  <c r="I15" i="1"/>
  <c r="I6" i="1"/>
  <c r="I4" i="1"/>
  <c r="I18" i="1"/>
  <c r="K18" i="1"/>
  <c r="L18" i="1"/>
  <c r="K19" i="1"/>
  <c r="K21" i="1"/>
  <c r="K23" i="1"/>
  <c r="K25" i="1"/>
  <c r="K27" i="1"/>
  <c r="K4" i="1"/>
  <c r="K6" i="1"/>
  <c r="K15" i="1"/>
  <c r="K17" i="1"/>
  <c r="K26" i="1"/>
  <c r="K24" i="1"/>
  <c r="K22" i="1"/>
  <c r="K20" i="1"/>
  <c r="K16" i="1"/>
  <c r="K7" i="1"/>
  <c r="K5" i="1"/>
  <c r="K3" i="1"/>
  <c r="I3" i="1"/>
  <c r="L26" i="1"/>
  <c r="L24" i="1"/>
  <c r="L22" i="1"/>
  <c r="L20" i="1"/>
  <c r="L16" i="1"/>
  <c r="L7" i="1"/>
  <c r="L5" i="1"/>
  <c r="L3" i="1"/>
  <c r="L2" i="1"/>
  <c r="L27" i="1"/>
  <c r="L25" i="1"/>
  <c r="L23" i="1"/>
  <c r="L21" i="1"/>
  <c r="L19" i="1"/>
  <c r="L17" i="1"/>
  <c r="L15" i="1"/>
  <c r="L6" i="1"/>
  <c r="J14" i="5"/>
  <c r="J15" i="5"/>
  <c r="G16" i="4" l="1"/>
  <c r="G15" i="4"/>
  <c r="G14" i="4"/>
  <c r="F8" i="2"/>
  <c r="F13" i="2"/>
  <c r="F12" i="2"/>
</calcChain>
</file>

<file path=xl/sharedStrings.xml><?xml version="1.0" encoding="utf-8"?>
<sst xmlns="http://schemas.openxmlformats.org/spreadsheetml/2006/main" count="372" uniqueCount="88">
  <si>
    <t>Parcela</t>
  </si>
  <si>
    <t>No. Arbol</t>
  </si>
  <si>
    <t>Nombre común</t>
  </si>
  <si>
    <t>Especie</t>
  </si>
  <si>
    <t>Clase diámetrica</t>
  </si>
  <si>
    <t>DAP (cm)</t>
  </si>
  <si>
    <t>Altura (m)</t>
  </si>
  <si>
    <t>Area Basal (m2)</t>
  </si>
  <si>
    <t>AB/Ha.</t>
  </si>
  <si>
    <t>Volumen (m3)</t>
  </si>
  <si>
    <t>Volumen/Ha.</t>
  </si>
  <si>
    <t>Densidad/Ha.</t>
  </si>
  <si>
    <t>Rótulos de fila</t>
  </si>
  <si>
    <t>Total general</t>
  </si>
  <si>
    <t>Cuenta de No. Arbol</t>
  </si>
  <si>
    <t>Suma de Densidad/Ha.</t>
  </si>
  <si>
    <t>Valores</t>
  </si>
  <si>
    <t>Promedio de DAP (cm)</t>
  </si>
  <si>
    <t>Promedio de Altura (m)</t>
  </si>
  <si>
    <t>Suma de AB/Ha.</t>
  </si>
  <si>
    <t>Suma de Volumen/Ha.</t>
  </si>
  <si>
    <t>No.</t>
  </si>
  <si>
    <t>NOMBRE COMUN</t>
  </si>
  <si>
    <t>ESPECIE</t>
  </si>
  <si>
    <t>PRESENCIA</t>
  </si>
  <si>
    <t>% DE ABUNDANCIA</t>
  </si>
  <si>
    <t>Total General</t>
  </si>
  <si>
    <t>Rodal</t>
  </si>
  <si>
    <t>Área (has)</t>
  </si>
  <si>
    <r>
      <t>Volumen m</t>
    </r>
    <r>
      <rPr>
        <b/>
        <sz val="11"/>
        <color theme="1"/>
        <rFont val="Calibri"/>
        <family val="2"/>
      </rPr>
      <t>³</t>
    </r>
  </si>
  <si>
    <t>Ha.</t>
  </si>
  <si>
    <t>Volumen/ Rodal</t>
  </si>
  <si>
    <t>No. De Parcela</t>
  </si>
  <si>
    <t>Volumen Total</t>
  </si>
  <si>
    <t>Especie y Clase Diametrica</t>
  </si>
  <si>
    <t>ANALISIS ESTADISTICO</t>
  </si>
  <si>
    <t>AREA (Ha.)</t>
  </si>
  <si>
    <t>VALOR DE T</t>
  </si>
  <si>
    <t>No. PARCELAS</t>
  </si>
  <si>
    <t>PARCELA</t>
  </si>
  <si>
    <t>VOLUMEN/ha</t>
  </si>
  <si>
    <t>(VOLUMEN)²</t>
  </si>
  <si>
    <t>PARAMETRO</t>
  </si>
  <si>
    <t>RESULTADO</t>
  </si>
  <si>
    <t>MEDIA ARITMETICA</t>
  </si>
  <si>
    <t xml:space="preserve">VARIANZA </t>
  </si>
  <si>
    <t>DESVIACION ESTANDAR</t>
  </si>
  <si>
    <t>ERROR ESTANDAR</t>
  </si>
  <si>
    <t>ERROR DE MUESTREO</t>
  </si>
  <si>
    <t xml:space="preserve">LIMITE SUPERIOR </t>
  </si>
  <si>
    <t>LIMITE INFERIOR</t>
  </si>
  <si>
    <t>TOTAL</t>
  </si>
  <si>
    <t>10 - 19.9</t>
  </si>
  <si>
    <t>20 - 29.9</t>
  </si>
  <si>
    <t>area</t>
  </si>
  <si>
    <t>ha.</t>
  </si>
  <si>
    <t>mts.</t>
  </si>
  <si>
    <t>Cupresus lusitanica</t>
  </si>
  <si>
    <t>Pino triste</t>
  </si>
  <si>
    <t>Pinus psudostrobus</t>
  </si>
  <si>
    <t>N.D</t>
  </si>
  <si>
    <t>30 - 39.9</t>
  </si>
  <si>
    <t>40 - 49.9</t>
  </si>
  <si>
    <t>de la parcela 1a la 3</t>
  </si>
  <si>
    <t>de la parcela 4 a la 8</t>
  </si>
  <si>
    <t>1.034 has</t>
  </si>
  <si>
    <t>0.779 has</t>
  </si>
  <si>
    <t>de la parcela 9 a la 10</t>
  </si>
  <si>
    <t>1.12 has</t>
  </si>
  <si>
    <t xml:space="preserve">Chulube </t>
  </si>
  <si>
    <t xml:space="preserve">Ciprés </t>
  </si>
  <si>
    <t>11 - 19.9</t>
  </si>
  <si>
    <t>12 - 19.9</t>
  </si>
  <si>
    <t>13 - 19.9</t>
  </si>
  <si>
    <t>14 - 19.9</t>
  </si>
  <si>
    <t>Arbutus xalapensis</t>
  </si>
  <si>
    <t>X</t>
  </si>
  <si>
    <t>Y</t>
  </si>
  <si>
    <t>Sebastían Carrillo y Carrillo</t>
  </si>
  <si>
    <t>AREA PARCELA</t>
  </si>
  <si>
    <t>AREA TOTAL</t>
  </si>
  <si>
    <t>FECHA</t>
  </si>
  <si>
    <t>PROPIETARIO</t>
  </si>
  <si>
    <t>BASE_DATOS</t>
  </si>
  <si>
    <t>AÑO</t>
  </si>
  <si>
    <t>MUNICIPIO</t>
  </si>
  <si>
    <t>DEPTO</t>
  </si>
  <si>
    <t>BD16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</si>
</sst>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#,##0.00\ &quot;m³&quot;"/>
  </numFmts>
  <fonts count="11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name val="Arial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</fonts>
  <fills count="1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9" fontId="4" fillId="0" borderId="0" applyFont="0" applyFill="0" applyBorder="0" applyAlignment="0" applyProtection="0"/>
  </cellStyleXfs>
  <cellXfs count="104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" fontId="0" fillId="0" borderId="0" xfId="0" applyNumberFormat="1"/>
    <xf numFmtId="0" fontId="0" fillId="0" borderId="2" xfId="0" applyBorder="1"/>
    <xf numFmtId="0" fontId="0" fillId="0" borderId="2" xfId="0" applyFont="1" applyBorder="1" applyAlignment="1">
      <alignment horizontal="left"/>
    </xf>
    <xf numFmtId="0" fontId="0" fillId="0" borderId="2" xfId="0" applyNumberFormat="1" applyFont="1" applyBorder="1"/>
    <xf numFmtId="1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left"/>
    </xf>
    <xf numFmtId="2" fontId="0" fillId="0" borderId="2" xfId="0" applyNumberFormat="1" applyBorder="1"/>
    <xf numFmtId="2" fontId="0" fillId="0" borderId="2" xfId="0" applyNumberFormat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/>
    </xf>
    <xf numFmtId="1" fontId="0" fillId="0" borderId="2" xfId="0" applyNumberFormat="1" applyBorder="1"/>
    <xf numFmtId="0" fontId="2" fillId="4" borderId="2" xfId="0" applyFont="1" applyFill="1" applyBorder="1" applyAlignment="1">
      <alignment horizontal="left"/>
    </xf>
    <xf numFmtId="1" fontId="2" fillId="4" borderId="2" xfId="0" applyNumberFormat="1" applyFont="1" applyFill="1" applyBorder="1"/>
    <xf numFmtId="0" fontId="2" fillId="6" borderId="2" xfId="0" applyFont="1" applyFill="1" applyBorder="1" applyAlignment="1">
      <alignment horizontal="center" vertical="center"/>
    </xf>
    <xf numFmtId="0" fontId="0" fillId="6" borderId="2" xfId="0" applyFill="1" applyBorder="1"/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wrapText="1"/>
    </xf>
    <xf numFmtId="0" fontId="2" fillId="5" borderId="2" xfId="0" applyFont="1" applyFill="1" applyBorder="1"/>
    <xf numFmtId="1" fontId="2" fillId="5" borderId="2" xfId="0" applyNumberFormat="1" applyFont="1" applyFill="1" applyBorder="1" applyAlignment="1">
      <alignment horizontal="center" vertical="center"/>
    </xf>
    <xf numFmtId="1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 wrapText="1"/>
    </xf>
    <xf numFmtId="2" fontId="0" fillId="0" borderId="2" xfId="0" applyNumberFormat="1" applyBorder="1" applyAlignment="1">
      <alignment horizontal="center" wrapText="1"/>
    </xf>
    <xf numFmtId="2" fontId="0" fillId="3" borderId="2" xfId="0" applyNumberForma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wrapText="1"/>
    </xf>
    <xf numFmtId="1" fontId="0" fillId="5" borderId="2" xfId="0" applyNumberFormat="1" applyFill="1" applyBorder="1" applyAlignment="1">
      <alignment horizontal="center" wrapText="1"/>
    </xf>
    <xf numFmtId="2" fontId="0" fillId="5" borderId="2" xfId="0" applyNumberFormat="1" applyFill="1" applyBorder="1" applyAlignment="1">
      <alignment horizontal="center" wrapText="1"/>
    </xf>
    <xf numFmtId="2" fontId="2" fillId="5" borderId="2" xfId="0" applyNumberFormat="1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5" fillId="0" borderId="2" xfId="1" applyFont="1" applyBorder="1" applyAlignment="1">
      <alignment horizontal="center"/>
    </xf>
    <xf numFmtId="0" fontId="5" fillId="0" borderId="2" xfId="1" applyFont="1" applyBorder="1"/>
    <xf numFmtId="0" fontId="5" fillId="7" borderId="2" xfId="1" applyFont="1" applyFill="1" applyBorder="1" applyAlignment="1">
      <alignment horizontal="center"/>
    </xf>
    <xf numFmtId="164" fontId="5" fillId="0" borderId="2" xfId="1" applyNumberFormat="1" applyFont="1" applyBorder="1" applyAlignment="1">
      <alignment horizontal="center"/>
    </xf>
    <xf numFmtId="165" fontId="6" fillId="0" borderId="2" xfId="1" applyNumberFormat="1" applyFont="1" applyBorder="1" applyAlignment="1">
      <alignment horizontal="right"/>
    </xf>
    <xf numFmtId="164" fontId="6" fillId="0" borderId="2" xfId="1" applyNumberFormat="1" applyFont="1" applyBorder="1" applyAlignment="1">
      <alignment horizontal="right"/>
    </xf>
    <xf numFmtId="2" fontId="0" fillId="0" borderId="2" xfId="0" applyNumberFormat="1" applyFill="1" applyBorder="1" applyAlignment="1">
      <alignment horizontal="center" vertical="center"/>
    </xf>
    <xf numFmtId="10" fontId="6" fillId="8" borderId="2" xfId="2" applyNumberFormat="1" applyFont="1" applyFill="1" applyBorder="1" applyAlignment="1">
      <alignment horizontal="right"/>
    </xf>
    <xf numFmtId="164" fontId="6" fillId="0" borderId="2" xfId="1" applyNumberFormat="1" applyFont="1" applyBorder="1" applyAlignment="1">
      <alignment horizontal="center"/>
    </xf>
    <xf numFmtId="1" fontId="0" fillId="5" borderId="2" xfId="0" applyNumberFormat="1" applyFill="1" applyBorder="1" applyAlignment="1">
      <alignment horizontal="center"/>
    </xf>
    <xf numFmtId="2" fontId="0" fillId="5" borderId="2" xfId="0" applyNumberFormat="1" applyFill="1" applyBorder="1" applyAlignment="1">
      <alignment horizontal="center"/>
    </xf>
    <xf numFmtId="0" fontId="0" fillId="0" borderId="3" xfId="0" applyBorder="1" applyAlignment="1">
      <alignment horizontal="left"/>
    </xf>
    <xf numFmtId="2" fontId="0" fillId="0" borderId="3" xfId="0" applyNumberFormat="1" applyBorder="1" applyAlignment="1">
      <alignment horizontal="center"/>
    </xf>
    <xf numFmtId="2" fontId="0" fillId="0" borderId="3" xfId="0" applyNumberForma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6" borderId="3" xfId="0" applyFill="1" applyBorder="1" applyAlignment="1">
      <alignment horizontal="center" wrapText="1"/>
    </xf>
    <xf numFmtId="2" fontId="0" fillId="5" borderId="3" xfId="0" applyNumberFormat="1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0" fillId="5" borderId="3" xfId="0" applyFill="1" applyBorder="1" applyAlignment="1">
      <alignment horizontal="left"/>
    </xf>
    <xf numFmtId="0" fontId="0" fillId="3" borderId="0" xfId="0" applyFill="1" applyBorder="1"/>
    <xf numFmtId="0" fontId="1" fillId="2" borderId="4" xfId="0" applyFont="1" applyFill="1" applyBorder="1" applyAlignment="1">
      <alignment horizontal="center" vertical="center" wrapText="1"/>
    </xf>
    <xf numFmtId="0" fontId="7" fillId="9" borderId="2" xfId="0" applyFont="1" applyFill="1" applyBorder="1"/>
    <xf numFmtId="0" fontId="0" fillId="10" borderId="2" xfId="0" applyFill="1" applyBorder="1"/>
    <xf numFmtId="0" fontId="0" fillId="0" borderId="0" xfId="0" applyBorder="1"/>
    <xf numFmtId="2" fontId="0" fillId="0" borderId="2" xfId="0" applyNumberFormat="1" applyBorder="1" applyAlignment="1">
      <alignment horizontal="center" vertical="center"/>
    </xf>
    <xf numFmtId="0" fontId="5" fillId="0" borderId="2" xfId="1" applyFont="1" applyBorder="1" applyAlignment="1">
      <alignment horizontal="center"/>
    </xf>
    <xf numFmtId="0" fontId="2" fillId="0" borderId="0" xfId="0" applyFont="1" applyBorder="1"/>
    <xf numFmtId="0" fontId="0" fillId="11" borderId="0" xfId="0" applyFill="1" applyBorder="1"/>
    <xf numFmtId="0" fontId="0" fillId="11" borderId="0" xfId="0" applyFill="1"/>
    <xf numFmtId="0" fontId="7" fillId="11" borderId="2" xfId="0" applyFont="1" applyFill="1" applyBorder="1"/>
    <xf numFmtId="0" fontId="0" fillId="11" borderId="2" xfId="0" applyFill="1" applyBorder="1"/>
    <xf numFmtId="0" fontId="2" fillId="11" borderId="0" xfId="0" applyFont="1" applyFill="1" applyBorder="1"/>
    <xf numFmtId="0" fontId="2" fillId="11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2" fontId="0" fillId="0" borderId="2" xfId="0" applyNumberFormat="1" applyFill="1" applyBorder="1"/>
    <xf numFmtId="2" fontId="0" fillId="0" borderId="2" xfId="0" applyNumberFormat="1" applyFont="1" applyFill="1" applyBorder="1"/>
    <xf numFmtId="0" fontId="0" fillId="0" borderId="2" xfId="0" applyFont="1" applyFill="1" applyBorder="1"/>
    <xf numFmtId="0" fontId="0" fillId="0" borderId="2" xfId="0" applyFont="1" applyFill="1" applyBorder="1" applyAlignment="1">
      <alignment horizontal="center"/>
    </xf>
    <xf numFmtId="2" fontId="2" fillId="4" borderId="2" xfId="0" applyNumberFormat="1" applyFont="1" applyFill="1" applyBorder="1"/>
    <xf numFmtId="0" fontId="0" fillId="0" borderId="0" xfId="0" applyAlignment="1">
      <alignment horizontal="center"/>
    </xf>
    <xf numFmtId="1" fontId="2" fillId="4" borderId="2" xfId="0" applyNumberFormat="1" applyFont="1" applyFill="1" applyBorder="1" applyAlignment="1">
      <alignment horizontal="center"/>
    </xf>
    <xf numFmtId="2" fontId="2" fillId="0" borderId="2" xfId="0" applyNumberFormat="1" applyFont="1" applyFill="1" applyBorder="1" applyAlignment="1">
      <alignment horizontal="center" vertical="center" wrapText="1"/>
    </xf>
    <xf numFmtId="2" fontId="0" fillId="0" borderId="2" xfId="0" applyNumberFormat="1" applyFont="1" applyFill="1" applyBorder="1" applyAlignment="1">
      <alignment horizontal="center" vertical="center" wrapText="1"/>
    </xf>
    <xf numFmtId="17" fontId="0" fillId="0" borderId="0" xfId="0" applyNumberFormat="1"/>
    <xf numFmtId="2" fontId="0" fillId="3" borderId="2" xfId="0" applyNumberFormat="1" applyFont="1" applyFill="1" applyBorder="1" applyAlignment="1">
      <alignment horizontal="center" vertical="center" wrapText="1"/>
    </xf>
    <xf numFmtId="2" fontId="0" fillId="5" borderId="3" xfId="0" applyNumberFormat="1" applyFill="1" applyBorder="1" applyAlignment="1">
      <alignment horizontal="center"/>
    </xf>
    <xf numFmtId="2" fontId="0" fillId="0" borderId="2" xfId="0" applyNumberFormat="1" applyFont="1" applyFill="1" applyBorder="1" applyAlignment="1">
      <alignment horizontal="center" vertical="center"/>
    </xf>
    <xf numFmtId="2" fontId="0" fillId="3" borderId="2" xfId="0" applyNumberFormat="1" applyFont="1" applyFill="1" applyBorder="1" applyAlignment="1">
      <alignment horizontal="center" vertical="center"/>
    </xf>
    <xf numFmtId="2" fontId="2" fillId="0" borderId="2" xfId="0" applyNumberFormat="1" applyFont="1" applyFill="1" applyBorder="1" applyAlignment="1">
      <alignment horizontal="center" vertical="center"/>
    </xf>
    <xf numFmtId="2" fontId="2" fillId="5" borderId="2" xfId="0" applyNumberFormat="1" applyFont="1" applyFill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8" fillId="0" borderId="2" xfId="0" applyFont="1" applyFill="1" applyBorder="1"/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4" xfId="0" applyFont="1" applyFill="1" applyBorder="1" applyAlignment="1">
      <alignment horizontal="center" vertical="center"/>
    </xf>
    <xf numFmtId="0" fontId="9" fillId="12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5" fillId="0" borderId="2" xfId="1" applyFont="1" applyBorder="1" applyAlignment="1">
      <alignment horizontal="center"/>
    </xf>
  </cellXfs>
  <cellStyles count="3">
    <cellStyle name="Normal" xfId="0" builtinId="0"/>
    <cellStyle name="Normal 2" xfId="1"/>
    <cellStyle name="Porcentaje 2" xfId="2"/>
  </cellStyles>
  <dxfs count="40">
    <dxf>
      <border>
        <bottom style="thin">
          <color indexed="64"/>
        </bottom>
        <horizontal style="thin">
          <color indexed="64"/>
        </horizontal>
      </border>
    </dxf>
    <dxf>
      <alignment horizontal="center" readingOrder="0"/>
    </dxf>
    <dxf>
      <fill>
        <patternFill>
          <bgColor theme="5" tint="0.39997558519241921"/>
        </patternFill>
      </fill>
    </dxf>
    <dxf>
      <fill>
        <patternFill>
          <bgColor theme="5" tint="0.39997558519241921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alignment horizontal="center" readingOrder="0"/>
    </dxf>
    <dxf>
      <alignment horizontal="center" readingOrder="0"/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 readingOrder="0"/>
    </dxf>
    <dxf>
      <alignment wrapText="1" readingOrder="0"/>
    </dxf>
    <dxf>
      <numFmt numFmtId="2" formatCode="0.00"/>
    </dxf>
    <dxf>
      <numFmt numFmtId="1" formatCode="0"/>
    </dxf>
    <dxf>
      <fill>
        <patternFill>
          <bgColor theme="5" tint="0.39997558519241921"/>
        </patternFill>
      </fill>
    </dxf>
    <dxf>
      <fill>
        <patternFill>
          <bgColor theme="5" tint="0.39997558519241921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</dxf>
    <dxf>
      <numFmt numFmtId="1" formatCode="0"/>
    </dxf>
    <dxf>
      <numFmt numFmtId="2" formatCode="0.0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uariofinal" refreshedDate="41613.658696643521" createdVersion="3" refreshedVersion="3" minRefreshableVersion="3" recordCount="79">
  <cacheSource type="worksheet">
    <worksheetSource ref="A1:L80" sheet="base de datos"/>
  </cacheSource>
  <cacheFields count="12">
    <cacheField name="Parcela" numFmtId="0">
      <sharedItems containsSemiMixedTypes="0" containsString="0" containsNumber="1" containsInteger="1" minValue="1" maxValue="5"/>
    </cacheField>
    <cacheField name="No. Arbol" numFmtId="0">
      <sharedItems containsSemiMixedTypes="0" containsString="0" containsNumber="1" containsInteger="1" minValue="1" maxValue="18"/>
    </cacheField>
    <cacheField name="Nombre común" numFmtId="0">
      <sharedItems count="3">
        <s v="Pino triste"/>
        <s v="Chulube "/>
        <s v="Ciprés "/>
      </sharedItems>
    </cacheField>
    <cacheField name="Especie" numFmtId="0">
      <sharedItems count="3">
        <s v="Pinus psudostrobus"/>
        <s v="N.D"/>
        <s v="Cupresus lusitanica"/>
      </sharedItems>
    </cacheField>
    <cacheField name="Clase diámetrica" numFmtId="0">
      <sharedItems/>
    </cacheField>
    <cacheField name="DAP (cm)" numFmtId="0">
      <sharedItems containsSemiMixedTypes="0" containsString="0" containsNumber="1" minValue="13" maxValue="49.9"/>
    </cacheField>
    <cacheField name="Altura (m)" numFmtId="0">
      <sharedItems containsSemiMixedTypes="0" containsString="0" containsNumber="1" containsInteger="1" minValue="8" maxValue="22"/>
    </cacheField>
    <cacheField name="Area Basal (m2)" numFmtId="2">
      <sharedItems containsSemiMixedTypes="0" containsString="0" containsNumber="1" minValue="1.3273260000000002E-2" maxValue="0.19556538539999999"/>
    </cacheField>
    <cacheField name="AB/Ha." numFmtId="2">
      <sharedItems containsSemiMixedTypes="0" containsString="0" containsNumber="1" minValue="5.3093040000000008E-2" maxValue="0.78226154159999994"/>
    </cacheField>
    <cacheField name="Volumen (m3)" numFmtId="2">
      <sharedItems containsSemiMixedTypes="0" containsString="0" containsNumber="1" minValue="4.9934130399999999E-2" maxValue="1.5973476051479998"/>
    </cacheField>
    <cacheField name="Volumen/Ha." numFmtId="2">
      <sharedItems containsSemiMixedTypes="0" containsString="0" containsNumber="1" minValue="0.19973652159999999" maxValue="6.3893904205919991"/>
    </cacheField>
    <cacheField name="Densidad/Ha." numFmtId="2">
      <sharedItems containsSemiMixedTypes="0" containsString="0" containsNumber="1" containsInteger="1" minValue="4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usuariofinal" refreshedDate="41613.658915509259" createdVersion="3" refreshedVersion="3" minRefreshableVersion="3" recordCount="79">
  <cacheSource type="worksheet">
    <worksheetSource ref="A1:L80" sheet="base de datos"/>
  </cacheSource>
  <cacheFields count="12">
    <cacheField name="Parcela" numFmtId="0">
      <sharedItems containsSemiMixedTypes="0" containsString="0" containsNumber="1" containsInteger="1" minValue="1" maxValue="6" count="6">
        <n v="1"/>
        <n v="2"/>
        <n v="3"/>
        <n v="4"/>
        <n v="5"/>
        <n v="6" u="1"/>
      </sharedItems>
    </cacheField>
    <cacheField name="No. Arbol" numFmtId="0">
      <sharedItems containsSemiMixedTypes="0" containsString="0" containsNumber="1" containsInteger="1" minValue="1" maxValue="18"/>
    </cacheField>
    <cacheField name="Nombre común" numFmtId="0">
      <sharedItems/>
    </cacheField>
    <cacheField name="Especie" numFmtId="0">
      <sharedItems count="3">
        <s v="Pinus psudostrobus"/>
        <s v="N.D"/>
        <s v="Cupresus lusitanica"/>
      </sharedItems>
    </cacheField>
    <cacheField name="Clase diámetrica" numFmtId="0">
      <sharedItems count="9">
        <s v="20 - 29.9"/>
        <s v="10 - 19.9"/>
        <s v="11 - 19.9"/>
        <s v="12 - 19.9"/>
        <s v="13 - 19.9"/>
        <s v="14 - 19.9"/>
        <s v="30 - 39.9"/>
        <s v="40 - 49.9"/>
        <s v="50 &gt; " u="1"/>
      </sharedItems>
    </cacheField>
    <cacheField name="DAP (cm)" numFmtId="0">
      <sharedItems containsSemiMixedTypes="0" containsString="0" containsNumber="1" minValue="13" maxValue="49.9"/>
    </cacheField>
    <cacheField name="Altura (m)" numFmtId="0">
      <sharedItems containsSemiMixedTypes="0" containsString="0" containsNumber="1" containsInteger="1" minValue="8" maxValue="22"/>
    </cacheField>
    <cacheField name="Area Basal (m2)" numFmtId="2">
      <sharedItems containsSemiMixedTypes="0" containsString="0" containsNumber="1" minValue="1.3273260000000002E-2" maxValue="0.19556538539999999"/>
    </cacheField>
    <cacheField name="AB/Ha." numFmtId="2">
      <sharedItems containsSemiMixedTypes="0" containsString="0" containsNumber="1" minValue="5.3093040000000008E-2" maxValue="0.78226154159999994"/>
    </cacheField>
    <cacheField name="Volumen (m3)" numFmtId="2">
      <sharedItems containsSemiMixedTypes="0" containsString="0" containsNumber="1" minValue="4.9934130399999999E-2" maxValue="1.5973476051479998"/>
    </cacheField>
    <cacheField name="Volumen/Ha." numFmtId="2">
      <sharedItems containsSemiMixedTypes="0" containsString="0" containsNumber="1" minValue="0.19973652159999999" maxValue="6.3893904205919991"/>
    </cacheField>
    <cacheField name="Densidad/Ha." numFmtId="2">
      <sharedItems containsSemiMixedTypes="0" containsString="0" containsNumber="1" containsInteger="1" minValue="4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9">
  <r>
    <n v="1"/>
    <n v="1"/>
    <x v="0"/>
    <x v="0"/>
    <s v="20 - 29.9"/>
    <n v="24"/>
    <n v="18"/>
    <n v="4.5239040000000001E-2"/>
    <n v="0.18095616"/>
    <n v="0.30165989039999996"/>
    <n v="1.2066395615999999"/>
    <n v="4"/>
  </r>
  <r>
    <n v="1"/>
    <n v="2"/>
    <x v="0"/>
    <x v="0"/>
    <s v="20 - 29.9"/>
    <n v="24"/>
    <n v="15"/>
    <n v="4.5239040000000001E-2"/>
    <n v="0.18095616"/>
    <n v="0.25223010479999997"/>
    <n v="1.0089204191999999"/>
    <n v="4"/>
  </r>
  <r>
    <n v="1"/>
    <n v="3"/>
    <x v="0"/>
    <x v="0"/>
    <s v="10 - 19.9"/>
    <n v="19.899999999999999"/>
    <n v="14"/>
    <n v="3.1102625399999993E-2"/>
    <n v="0.12441050159999997"/>
    <n v="0.16367241032799998"/>
    <n v="0.65468964131199991"/>
    <n v="4"/>
  </r>
  <r>
    <n v="1"/>
    <n v="4"/>
    <x v="1"/>
    <x v="1"/>
    <s v="20 - 29.9"/>
    <n v="27"/>
    <n v="17"/>
    <n v="5.7255660000000007E-2"/>
    <n v="0.22902264000000003"/>
    <n v="0.68459937300000007"/>
    <n v="2.7383974920000003"/>
    <n v="4"/>
  </r>
  <r>
    <n v="1"/>
    <n v="5"/>
    <x v="0"/>
    <x v="0"/>
    <s v="20 - 29.9"/>
    <n v="26"/>
    <n v="17"/>
    <n v="5.3093040000000008E-2"/>
    <n v="0.21237216000000003"/>
    <n v="0.33381213519999997"/>
    <n v="1.3352485407999999"/>
    <n v="4"/>
  </r>
  <r>
    <n v="1"/>
    <n v="6"/>
    <x v="0"/>
    <x v="0"/>
    <s v="10 - 19.9"/>
    <n v="16"/>
    <n v="15"/>
    <n v="2.0106240000000001E-2"/>
    <n v="8.0424960000000004E-2"/>
    <n v="0.1149251448"/>
    <n v="0.45970057920000001"/>
    <n v="4"/>
  </r>
  <r>
    <n v="1"/>
    <n v="7"/>
    <x v="0"/>
    <x v="0"/>
    <s v="10 - 19.9"/>
    <n v="17"/>
    <n v="13"/>
    <n v="2.2698060000000003E-2"/>
    <n v="9.079224000000001E-2"/>
    <n v="0.11255091319999999"/>
    <n v="0.45020365279999996"/>
    <n v="4"/>
  </r>
  <r>
    <n v="1"/>
    <n v="8"/>
    <x v="0"/>
    <x v="0"/>
    <s v="10 - 19.9"/>
    <n v="15"/>
    <n v="16"/>
    <n v="1.76715E-2"/>
    <n v="7.0685999999999999E-2"/>
    <n v="0.1080598968"/>
    <n v="0.4322395872"/>
    <n v="4"/>
  </r>
  <r>
    <n v="1"/>
    <n v="9"/>
    <x v="0"/>
    <x v="0"/>
    <s v="10 - 19.9"/>
    <n v="17"/>
    <n v="15"/>
    <n v="2.2698060000000003E-2"/>
    <n v="9.079224000000001E-2"/>
    <n v="0.1290847188"/>
    <n v="0.51633887519999999"/>
    <n v="4"/>
  </r>
  <r>
    <n v="1"/>
    <n v="10"/>
    <x v="0"/>
    <x v="0"/>
    <s v="11 - 19.9"/>
    <n v="18"/>
    <n v="15"/>
    <n v="2.5446959999999998E-2"/>
    <n v="0.10178783999999999"/>
    <n v="0.1441024488"/>
    <n v="0.57640979520000002"/>
    <n v="4"/>
  </r>
  <r>
    <n v="1"/>
    <n v="11"/>
    <x v="0"/>
    <x v="0"/>
    <s v="12 - 19.9"/>
    <n v="15"/>
    <n v="16"/>
    <n v="1.76715E-2"/>
    <n v="7.0685999999999999E-2"/>
    <n v="0.1080598968"/>
    <n v="0.4322395872"/>
    <n v="4"/>
  </r>
  <r>
    <n v="1"/>
    <n v="12"/>
    <x v="0"/>
    <x v="0"/>
    <s v="13 - 19.9"/>
    <n v="16"/>
    <n v="14"/>
    <n v="2.0106240000000001E-2"/>
    <n v="8.0424960000000004E-2"/>
    <n v="0.1076022136"/>
    <n v="0.43040885439999998"/>
    <n v="4"/>
  </r>
  <r>
    <n v="1"/>
    <n v="13"/>
    <x v="0"/>
    <x v="0"/>
    <s v="14 - 19.9"/>
    <n v="14"/>
    <n v="13"/>
    <n v="1.5393840000000002E-2"/>
    <n v="6.157536000000001E-2"/>
    <n v="7.7967226400000006E-2"/>
    <n v="0.31186890560000002"/>
    <n v="4"/>
  </r>
  <r>
    <n v="1"/>
    <n v="14"/>
    <x v="0"/>
    <x v="0"/>
    <s v="10 - 19.9"/>
    <n v="17"/>
    <n v="15"/>
    <n v="2.2698060000000003E-2"/>
    <n v="9.079224000000001E-2"/>
    <n v="0.1290847188"/>
    <n v="0.51633887519999999"/>
    <n v="4"/>
  </r>
  <r>
    <n v="1"/>
    <n v="15"/>
    <x v="0"/>
    <x v="0"/>
    <s v="10 - 19.9"/>
    <n v="19.899999999999999"/>
    <n v="16"/>
    <n v="3.1102625399999993E-2"/>
    <n v="0.12441050159999997"/>
    <n v="0.18632830083199997"/>
    <n v="0.74531320332799988"/>
    <n v="4"/>
  </r>
  <r>
    <n v="1"/>
    <n v="16"/>
    <x v="0"/>
    <x v="0"/>
    <s v="20 - 29.9"/>
    <n v="28"/>
    <n v="17"/>
    <n v="6.157536000000001E-2"/>
    <n v="0.24630144000000004"/>
    <n v="0.38633128239999998"/>
    <n v="1.5453251295999999"/>
    <n v="4"/>
  </r>
  <r>
    <n v="1"/>
    <n v="17"/>
    <x v="0"/>
    <x v="0"/>
    <s v="30 - 39.9"/>
    <n v="37"/>
    <n v="16"/>
    <n v="0.10752125999999999"/>
    <n v="0.43008503999999997"/>
    <n v="0.6316494775999999"/>
    <n v="2.5265979103999996"/>
    <n v="4"/>
  </r>
  <r>
    <n v="2"/>
    <n v="1"/>
    <x v="0"/>
    <x v="0"/>
    <s v="30 - 39.9"/>
    <n v="30"/>
    <n v="19"/>
    <n v="7.0685999999999999E-2"/>
    <n v="0.282744"/>
    <n v="0.49423009679999996"/>
    <n v="1.9769203871999999"/>
    <n v="4"/>
  </r>
  <r>
    <n v="2"/>
    <n v="2"/>
    <x v="0"/>
    <x v="0"/>
    <s v="40 - 49.9"/>
    <n v="40"/>
    <n v="20"/>
    <n v="0.12566400000000003"/>
    <n v="0.5026560000000001"/>
    <n v="0.92044757679999989"/>
    <n v="3.6817903071999996"/>
    <n v="4"/>
  </r>
  <r>
    <n v="2"/>
    <n v="3"/>
    <x v="0"/>
    <x v="0"/>
    <s v="10 - 19.9"/>
    <n v="13"/>
    <n v="12"/>
    <n v="1.3273260000000002E-2"/>
    <n v="5.3093040000000008E-2"/>
    <n v="6.3092522400000003E-2"/>
    <n v="0.25237008960000001"/>
    <n v="4"/>
  </r>
  <r>
    <n v="2"/>
    <n v="4"/>
    <x v="0"/>
    <x v="0"/>
    <s v="10 - 19.9"/>
    <n v="13"/>
    <n v="12"/>
    <n v="1.3273260000000002E-2"/>
    <n v="5.3093040000000008E-2"/>
    <n v="6.3092522400000003E-2"/>
    <n v="0.25237008960000001"/>
    <n v="4"/>
  </r>
  <r>
    <n v="2"/>
    <n v="5"/>
    <x v="0"/>
    <x v="0"/>
    <s v="10 - 19.9"/>
    <n v="14"/>
    <n v="12"/>
    <n v="1.5393840000000002E-2"/>
    <n v="6.157536000000001E-2"/>
    <n v="7.2360607199999996E-2"/>
    <n v="0.28944242879999998"/>
    <n v="4"/>
  </r>
  <r>
    <n v="2"/>
    <n v="6"/>
    <x v="0"/>
    <x v="0"/>
    <s v="10 - 19.9"/>
    <n v="14"/>
    <n v="12"/>
    <n v="1.5393840000000002E-2"/>
    <n v="6.157536000000001E-2"/>
    <n v="7.2360607199999996E-2"/>
    <n v="0.28944242879999998"/>
    <n v="4"/>
  </r>
  <r>
    <n v="2"/>
    <n v="7"/>
    <x v="0"/>
    <x v="0"/>
    <s v="30 - 39.9"/>
    <n v="35"/>
    <n v="17"/>
    <n v="9.6211499999999991E-2"/>
    <n v="0.38484599999999997"/>
    <n v="0.60078446679999997"/>
    <n v="2.4031378671999999"/>
    <n v="4"/>
  </r>
  <r>
    <n v="2"/>
    <n v="8"/>
    <x v="0"/>
    <x v="0"/>
    <s v="10 - 19.9"/>
    <n v="15"/>
    <n v="13"/>
    <n v="1.76715E-2"/>
    <n v="7.0685999999999999E-2"/>
    <n v="8.8751386799999998E-2"/>
    <n v="0.35500554719999999"/>
    <n v="4"/>
  </r>
  <r>
    <n v="2"/>
    <n v="9"/>
    <x v="1"/>
    <x v="1"/>
    <s v="10 - 19.9"/>
    <n v="14"/>
    <n v="12"/>
    <n v="1.5393840000000002E-2"/>
    <n v="6.157536000000001E-2"/>
    <n v="0.21770291400000003"/>
    <n v="0.8708116560000001"/>
    <n v="4"/>
  </r>
  <r>
    <n v="2"/>
    <n v="10"/>
    <x v="0"/>
    <x v="0"/>
    <s v="20 - 29.9"/>
    <n v="20"/>
    <n v="12"/>
    <n v="3.1416000000000006E-2"/>
    <n v="0.12566400000000003"/>
    <n v="0.14238613680000001"/>
    <n v="0.56954454720000003"/>
    <n v="4"/>
  </r>
  <r>
    <n v="2"/>
    <n v="11"/>
    <x v="1"/>
    <x v="1"/>
    <s v="30 - 39.9"/>
    <n v="33"/>
    <n v="15"/>
    <n v="8.5530060000000005E-2"/>
    <n v="0.34212024000000002"/>
    <n v="0.86789843100000008"/>
    <n v="3.4715937240000003"/>
    <n v="4"/>
  </r>
  <r>
    <n v="2"/>
    <n v="12"/>
    <x v="1"/>
    <x v="1"/>
    <s v="40 - 49.9"/>
    <n v="41"/>
    <n v="15"/>
    <n v="0.13202573999999997"/>
    <n v="0.5281029599999999"/>
    <n v="1.2808095509999999"/>
    <n v="5.1232382039999997"/>
    <n v="4"/>
  </r>
  <r>
    <n v="2"/>
    <n v="13"/>
    <x v="0"/>
    <x v="0"/>
    <s v="20 - 29.9"/>
    <n v="21"/>
    <n v="10"/>
    <n v="3.4636139999999996E-2"/>
    <n v="0.13854455999999998"/>
    <n v="0.13123010879999999"/>
    <n v="0.52492043519999998"/>
    <n v="4"/>
  </r>
  <r>
    <n v="2"/>
    <n v="14"/>
    <x v="0"/>
    <x v="0"/>
    <s v="10 - 19.9"/>
    <n v="16"/>
    <n v="10"/>
    <n v="2.0106240000000001E-2"/>
    <n v="8.0424960000000004E-2"/>
    <n v="7.8310488799999994E-2"/>
    <n v="0.31324195519999998"/>
    <n v="4"/>
  </r>
  <r>
    <n v="3"/>
    <n v="1"/>
    <x v="0"/>
    <x v="0"/>
    <s v="20 - 29.9"/>
    <n v="20"/>
    <n v="15"/>
    <n v="3.1416000000000006E-2"/>
    <n v="0.12566400000000003"/>
    <n v="0.17671237679999999"/>
    <n v="0.70684950719999995"/>
    <n v="4"/>
  </r>
  <r>
    <n v="3"/>
    <n v="2"/>
    <x v="0"/>
    <x v="0"/>
    <s v="30 - 39.9"/>
    <n v="34.4"/>
    <n v="18"/>
    <n v="9.2941094399999979E-2"/>
    <n v="0.37176437759999992"/>
    <n v="0.61438566729599997"/>
    <n v="2.4575426691839999"/>
    <n v="4"/>
  </r>
  <r>
    <n v="3"/>
    <n v="3"/>
    <x v="0"/>
    <x v="0"/>
    <s v="20 - 29.9"/>
    <n v="24"/>
    <n v="15"/>
    <n v="4.5239040000000001E-2"/>
    <n v="0.18095616"/>
    <n v="0.25223010479999997"/>
    <n v="1.0089204191999999"/>
    <n v="4"/>
  </r>
  <r>
    <n v="3"/>
    <n v="4"/>
    <x v="0"/>
    <x v="0"/>
    <s v="20 - 29.9"/>
    <n v="26"/>
    <n v="14"/>
    <n v="5.3093040000000008E-2"/>
    <n v="0.21237216000000003"/>
    <n v="0.27580078959999998"/>
    <n v="1.1032031583999999"/>
    <n v="4"/>
  </r>
  <r>
    <n v="3"/>
    <n v="5"/>
    <x v="0"/>
    <x v="0"/>
    <s v="30 - 39.9"/>
    <n v="30.1"/>
    <n v="14"/>
    <n v="7.1158025399999991E-2"/>
    <n v="0.28463210159999996"/>
    <n v="0.367913538328"/>
    <n v="1.471654153312"/>
    <n v="4"/>
  </r>
  <r>
    <n v="3"/>
    <n v="6"/>
    <x v="0"/>
    <x v="0"/>
    <s v="10 - 19.9"/>
    <n v="17"/>
    <n v="11"/>
    <n v="2.2698060000000003E-2"/>
    <n v="9.079224000000001E-2"/>
    <n v="9.6017107599999998E-2"/>
    <n v="0.38406843039999999"/>
    <n v="4"/>
  </r>
  <r>
    <n v="3"/>
    <n v="7"/>
    <x v="0"/>
    <x v="0"/>
    <s v="10 - 19.9"/>
    <n v="14"/>
    <n v="10"/>
    <n v="1.5393840000000002E-2"/>
    <n v="6.157536000000001E-2"/>
    <n v="6.114736879999999E-2"/>
    <n v="0.24458947519999996"/>
    <n v="4"/>
  </r>
  <r>
    <n v="3"/>
    <n v="8"/>
    <x v="0"/>
    <x v="0"/>
    <s v="20 - 29.9"/>
    <n v="26"/>
    <n v="13"/>
    <n v="5.3093040000000008E-2"/>
    <n v="0.21237216000000003"/>
    <n v="0.25646367439999995"/>
    <n v="1.0258546975999998"/>
    <n v="4"/>
  </r>
  <r>
    <n v="3"/>
    <n v="9"/>
    <x v="0"/>
    <x v="0"/>
    <s v="20 - 29.9"/>
    <n v="25.4"/>
    <n v="14"/>
    <n v="5.06708664E-2"/>
    <n v="0.2026834656"/>
    <n v="0.26345020844799993"/>
    <n v="1.0538008337919997"/>
    <n v="4"/>
  </r>
  <r>
    <n v="3"/>
    <n v="10"/>
    <x v="0"/>
    <x v="0"/>
    <s v="20 - 29.9"/>
    <n v="26"/>
    <n v="14"/>
    <n v="5.3093040000000008E-2"/>
    <n v="0.21237216000000003"/>
    <n v="0.27580078959999998"/>
    <n v="1.1032031583999999"/>
    <n v="4"/>
  </r>
  <r>
    <n v="3"/>
    <n v="11"/>
    <x v="0"/>
    <x v="0"/>
    <s v="20 - 29.9"/>
    <n v="20"/>
    <n v="15"/>
    <n v="3.1416000000000006E-2"/>
    <n v="0.12566400000000003"/>
    <n v="0.17671237679999999"/>
    <n v="0.70684950719999995"/>
    <n v="4"/>
  </r>
  <r>
    <n v="3"/>
    <n v="12"/>
    <x v="0"/>
    <x v="0"/>
    <s v="20 - 29.9"/>
    <n v="24.3"/>
    <n v="15"/>
    <n v="4.63770846E-2"/>
    <n v="0.1855083384"/>
    <n v="0.25844744502"/>
    <n v="1.03378978008"/>
    <n v="4"/>
  </r>
  <r>
    <n v="3"/>
    <n v="13"/>
    <x v="0"/>
    <x v="0"/>
    <s v="30 - 39.9"/>
    <n v="38.299999999999997"/>
    <n v="17"/>
    <n v="0.11520954059999997"/>
    <n v="0.46083816239999986"/>
    <n v="0.71841276787599984"/>
    <n v="2.8736510715039993"/>
    <n v="4"/>
  </r>
  <r>
    <n v="3"/>
    <n v="14"/>
    <x v="0"/>
    <x v="0"/>
    <s v="20 - 29.9"/>
    <n v="24"/>
    <n v="8"/>
    <n v="4.5239040000000001E-2"/>
    <n v="0.18095616"/>
    <n v="0.1368939384"/>
    <n v="0.54757575359999999"/>
    <n v="4"/>
  </r>
  <r>
    <n v="3"/>
    <n v="15"/>
    <x v="0"/>
    <x v="0"/>
    <s v="20 - 29.9"/>
    <n v="23"/>
    <n v="9"/>
    <n v="4.154766E-2"/>
    <n v="0.16619064"/>
    <n v="0.141270534"/>
    <n v="0.56508213600000001"/>
    <n v="4"/>
  </r>
  <r>
    <n v="3"/>
    <n v="16"/>
    <x v="0"/>
    <x v="0"/>
    <s v="30 - 39.9"/>
    <n v="32.700000000000003"/>
    <n v="16"/>
    <n v="8.3982036600000004E-2"/>
    <n v="0.33592814640000002"/>
    <n v="0.49447724572800006"/>
    <n v="1.9779089829120002"/>
    <n v="4"/>
  </r>
  <r>
    <n v="3"/>
    <n v="17"/>
    <x v="0"/>
    <x v="0"/>
    <s v="20 - 29.9"/>
    <n v="23"/>
    <n v="16"/>
    <n v="4.154766E-2"/>
    <n v="0.16619064"/>
    <n v="0.24719558959999999"/>
    <n v="0.98878235839999995"/>
    <n v="4"/>
  </r>
  <r>
    <n v="4"/>
    <n v="1"/>
    <x v="0"/>
    <x v="0"/>
    <s v="20 - 29.9"/>
    <n v="25"/>
    <n v="14"/>
    <n v="4.9087499999999999E-2"/>
    <n v="0.19635"/>
    <n v="0.25537667679999998"/>
    <n v="1.0215067071999999"/>
    <n v="4"/>
  </r>
  <r>
    <n v="4"/>
    <n v="2"/>
    <x v="0"/>
    <x v="0"/>
    <s v="30 - 39.9"/>
    <n v="38"/>
    <n v="15"/>
    <n v="0.11341176"/>
    <n v="0.45364704"/>
    <n v="0.62466980879999989"/>
    <n v="2.4986792351999996"/>
    <n v="4"/>
  </r>
  <r>
    <n v="4"/>
    <n v="3"/>
    <x v="0"/>
    <x v="0"/>
    <s v="20 - 29.9"/>
    <n v="25"/>
    <n v="13"/>
    <n v="4.9087499999999999E-2"/>
    <n v="0.19635"/>
    <n v="0.2374984268"/>
    <n v="0.94999370719999998"/>
    <n v="4"/>
  </r>
  <r>
    <n v="4"/>
    <n v="4"/>
    <x v="0"/>
    <x v="0"/>
    <s v="10 - 19.9"/>
    <n v="17"/>
    <n v="10"/>
    <n v="2.2698060000000003E-2"/>
    <n v="9.079224000000001E-2"/>
    <n v="8.7750204799999995E-2"/>
    <n v="0.35100081919999998"/>
    <n v="4"/>
  </r>
  <r>
    <n v="4"/>
    <n v="5"/>
    <x v="0"/>
    <x v="0"/>
    <s v="20 - 29.9"/>
    <n v="29"/>
    <n v="14"/>
    <n v="6.6052139999999995E-2"/>
    <n v="0.26420855999999998"/>
    <n v="0.34187880159999995"/>
    <n v="1.3675152063999998"/>
    <n v="4"/>
  </r>
  <r>
    <n v="4"/>
    <n v="6"/>
    <x v="0"/>
    <x v="0"/>
    <s v="10 - 19.9"/>
    <n v="18"/>
    <n v="10"/>
    <n v="2.5446959999999998E-2"/>
    <n v="0.10178783999999999"/>
    <n v="9.77620248E-2"/>
    <n v="0.3910480992"/>
    <n v="4"/>
  </r>
  <r>
    <n v="4"/>
    <n v="7"/>
    <x v="0"/>
    <x v="0"/>
    <s v="10 - 19.9"/>
    <n v="14"/>
    <n v="8"/>
    <n v="1.5393840000000002E-2"/>
    <n v="6.157536000000001E-2"/>
    <n v="4.9934130399999999E-2"/>
    <n v="0.19973652159999999"/>
    <n v="4"/>
  </r>
  <r>
    <n v="4"/>
    <n v="8"/>
    <x v="0"/>
    <x v="0"/>
    <s v="10 - 19.9"/>
    <n v="16"/>
    <n v="13"/>
    <n v="2.0106240000000001E-2"/>
    <n v="8.0424960000000004E-2"/>
    <n v="0.1002792824"/>
    <n v="0.40111712960000001"/>
    <n v="4"/>
  </r>
  <r>
    <n v="4"/>
    <n v="9"/>
    <x v="0"/>
    <x v="0"/>
    <s v="20 - 29.9"/>
    <n v="22"/>
    <n v="16"/>
    <n v="3.8013359999999996E-2"/>
    <n v="0.15205343999999998"/>
    <n v="0.22659984559999999"/>
    <n v="0.90639938239999995"/>
    <n v="4"/>
  </r>
  <r>
    <n v="4"/>
    <n v="10"/>
    <x v="0"/>
    <x v="0"/>
    <s v="10 - 19.9"/>
    <n v="18"/>
    <n v="15"/>
    <n v="2.5446959999999998E-2"/>
    <n v="0.10178783999999999"/>
    <n v="0.1441024488"/>
    <n v="0.57640979520000002"/>
    <n v="4"/>
  </r>
  <r>
    <n v="4"/>
    <n v="11"/>
    <x v="0"/>
    <x v="0"/>
    <s v="10 - 19.9"/>
    <n v="17"/>
    <n v="14"/>
    <n v="2.2698060000000003E-2"/>
    <n v="9.079224000000001E-2"/>
    <n v="0.12081781599999999"/>
    <n v="0.48327126399999998"/>
    <n v="4"/>
  </r>
  <r>
    <n v="4"/>
    <n v="12"/>
    <x v="0"/>
    <x v="0"/>
    <s v="20 - 29.9"/>
    <n v="22"/>
    <n v="14"/>
    <n v="3.8013359999999996E-2"/>
    <n v="0.15205343999999998"/>
    <n v="0.198910012"/>
    <n v="0.79564004799999999"/>
    <n v="4"/>
  </r>
  <r>
    <n v="4"/>
    <n v="13"/>
    <x v="0"/>
    <x v="0"/>
    <s v="20 - 29.9"/>
    <n v="23"/>
    <n v="16"/>
    <n v="4.154766E-2"/>
    <n v="0.16619064"/>
    <n v="0.24719558959999999"/>
    <n v="0.98878235839999995"/>
    <n v="4"/>
  </r>
  <r>
    <n v="4"/>
    <n v="14"/>
    <x v="0"/>
    <x v="0"/>
    <s v="20 - 29.9"/>
    <n v="23"/>
    <n v="15"/>
    <n v="4.154766E-2"/>
    <n v="0.16619064"/>
    <n v="0.23206343879999999"/>
    <n v="0.92825375519999997"/>
    <n v="4"/>
  </r>
  <r>
    <n v="4"/>
    <n v="15"/>
    <x v="1"/>
    <x v="1"/>
    <s v="10 - 19.9"/>
    <n v="15.7"/>
    <n v="10"/>
    <n v="1.9359324600000002E-2"/>
    <n v="7.7437298400000007E-2"/>
    <n v="0.22295265110000001"/>
    <n v="0.89181060440000004"/>
    <n v="4"/>
  </r>
  <r>
    <n v="4"/>
    <n v="16"/>
    <x v="1"/>
    <x v="1"/>
    <s v="10 - 19.9"/>
    <n v="16"/>
    <n v="12"/>
    <n v="2.0106240000000001E-2"/>
    <n v="8.0424960000000004E-2"/>
    <n v="0.25118219400000003"/>
    <n v="1.0047287760000001"/>
    <n v="4"/>
  </r>
  <r>
    <n v="4"/>
    <n v="17"/>
    <x v="1"/>
    <x v="1"/>
    <s v="10 - 19.9"/>
    <n v="17"/>
    <n v="13"/>
    <n v="2.2698060000000003E-2"/>
    <n v="9.079224000000001E-2"/>
    <n v="0.28303400900000003"/>
    <n v="1.1321360360000001"/>
    <n v="4"/>
  </r>
  <r>
    <n v="4"/>
    <n v="18"/>
    <x v="1"/>
    <x v="1"/>
    <s v="10 - 19.9"/>
    <n v="19"/>
    <n v="12"/>
    <n v="2.835294E-2"/>
    <n v="0.11341176"/>
    <n v="0.309770934"/>
    <n v="1.239083736"/>
    <n v="4"/>
  </r>
  <r>
    <n v="5"/>
    <n v="1"/>
    <x v="0"/>
    <x v="0"/>
    <s v="10 - 19.9"/>
    <n v="17.3"/>
    <n v="13"/>
    <n v="2.3506236600000004E-2"/>
    <n v="9.4024946400000017E-2"/>
    <n v="0.11637743080400001"/>
    <n v="0.46550972321600004"/>
    <n v="4"/>
  </r>
  <r>
    <n v="5"/>
    <n v="2"/>
    <x v="0"/>
    <x v="0"/>
    <s v="10 - 19.9"/>
    <n v="13"/>
    <n v="10"/>
    <n v="1.3273260000000002E-2"/>
    <n v="5.3093040000000008E-2"/>
    <n v="5.3423964800000001E-2"/>
    <n v="0.2136958592"/>
    <n v="4"/>
  </r>
  <r>
    <n v="5"/>
    <n v="3"/>
    <x v="0"/>
    <x v="0"/>
    <s v="30 - 39.9"/>
    <n v="33"/>
    <n v="17"/>
    <n v="8.5530060000000005E-2"/>
    <n v="0.34212024000000002"/>
    <n v="0.53464924439999995"/>
    <n v="2.1385969775999998"/>
    <n v="4"/>
  </r>
  <r>
    <n v="5"/>
    <n v="4"/>
    <x v="0"/>
    <x v="0"/>
    <s v="20 - 29.9"/>
    <n v="20"/>
    <n v="14"/>
    <n v="3.1416000000000006E-2"/>
    <n v="0.12566400000000003"/>
    <n v="0.16527029679999999"/>
    <n v="0.66108118719999998"/>
    <n v="4"/>
  </r>
  <r>
    <n v="5"/>
    <n v="5"/>
    <x v="0"/>
    <x v="0"/>
    <s v="40 - 49.9"/>
    <n v="45"/>
    <n v="20"/>
    <n v="0.1590435"/>
    <n v="0.63617400000000002"/>
    <n v="1.1635917767999999"/>
    <n v="4.6543671071999997"/>
    <n v="4"/>
  </r>
  <r>
    <n v="5"/>
    <n v="6"/>
    <x v="0"/>
    <x v="0"/>
    <s v="10 - 19.9"/>
    <n v="18"/>
    <n v="15"/>
    <n v="2.5446959999999998E-2"/>
    <n v="0.10178783999999999"/>
    <n v="0.1441024488"/>
    <n v="0.57640979520000002"/>
    <n v="4"/>
  </r>
  <r>
    <n v="5"/>
    <n v="7"/>
    <x v="0"/>
    <x v="0"/>
    <s v="10 - 19.9"/>
    <n v="16.100000000000001"/>
    <n v="12"/>
    <n v="2.0358353400000001E-2"/>
    <n v="8.1433413600000004E-2"/>
    <n v="9.4058223504000005E-2"/>
    <n v="0.37623289401600002"/>
    <n v="4"/>
  </r>
  <r>
    <n v="5"/>
    <n v="8"/>
    <x v="0"/>
    <x v="0"/>
    <s v="40 - 49.9"/>
    <n v="40.5"/>
    <n v="15"/>
    <n v="0.12882523500000001"/>
    <n v="0.51530094000000004"/>
    <n v="0.70887636629999995"/>
    <n v="2.8355054651999998"/>
    <n v="4"/>
  </r>
  <r>
    <n v="5"/>
    <n v="9"/>
    <x v="0"/>
    <x v="0"/>
    <s v="10 - 19.9"/>
    <n v="16"/>
    <n v="13"/>
    <n v="2.0106240000000001E-2"/>
    <n v="8.0424960000000004E-2"/>
    <n v="0.1002792824"/>
    <n v="0.40111712960000001"/>
    <n v="4"/>
  </r>
  <r>
    <n v="5"/>
    <n v="10"/>
    <x v="1"/>
    <x v="1"/>
    <s v="20 - 29.9"/>
    <n v="23.2"/>
    <n v="18"/>
    <n v="4.2273369599999992E-2"/>
    <n v="0.16909347839999997"/>
    <n v="0.55883445768000006"/>
    <n v="2.2353378307200003"/>
    <n v="4"/>
  </r>
  <r>
    <n v="5"/>
    <n v="12"/>
    <x v="2"/>
    <x v="2"/>
    <s v="40 - 49.9"/>
    <n v="49.9"/>
    <n v="22"/>
    <n v="0.19556538539999999"/>
    <n v="0.78226154159999994"/>
    <n v="1.5973476051479998"/>
    <n v="6.3893904205919991"/>
    <n v="4"/>
  </r>
  <r>
    <n v="5"/>
    <n v="13"/>
    <x v="2"/>
    <x v="2"/>
    <s v="20 - 29.9"/>
    <n v="29"/>
    <n v="17"/>
    <n v="6.6052139999999995E-2"/>
    <n v="0.26420855999999998"/>
    <n v="0.42684007199999996"/>
    <n v="1.7073602879999998"/>
    <n v="4"/>
  </r>
  <r>
    <n v="5"/>
    <n v="15"/>
    <x v="2"/>
    <x v="2"/>
    <s v="20 - 29.9"/>
    <n v="22"/>
    <n v="17"/>
    <n v="3.8013359999999996E-2"/>
    <n v="0.15205343999999998"/>
    <n v="0.25136464739999997"/>
    <n v="1.0054585895999999"/>
    <n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79">
  <r>
    <x v="0"/>
    <n v="1"/>
    <s v="Pino triste"/>
    <x v="0"/>
    <x v="0"/>
    <n v="24"/>
    <n v="18"/>
    <n v="4.5239040000000001E-2"/>
    <n v="0.18095616"/>
    <n v="0.30165989039999996"/>
    <n v="1.2066395615999999"/>
    <n v="4"/>
  </r>
  <r>
    <x v="0"/>
    <n v="2"/>
    <s v="Pino triste"/>
    <x v="0"/>
    <x v="0"/>
    <n v="24"/>
    <n v="15"/>
    <n v="4.5239040000000001E-2"/>
    <n v="0.18095616"/>
    <n v="0.25223010479999997"/>
    <n v="1.0089204191999999"/>
    <n v="4"/>
  </r>
  <r>
    <x v="0"/>
    <n v="3"/>
    <s v="Pino triste"/>
    <x v="0"/>
    <x v="1"/>
    <n v="19.899999999999999"/>
    <n v="14"/>
    <n v="3.1102625399999993E-2"/>
    <n v="0.12441050159999997"/>
    <n v="0.16367241032799998"/>
    <n v="0.65468964131199991"/>
    <n v="4"/>
  </r>
  <r>
    <x v="0"/>
    <n v="4"/>
    <s v="Chulube "/>
    <x v="1"/>
    <x v="0"/>
    <n v="27"/>
    <n v="17"/>
    <n v="5.7255660000000007E-2"/>
    <n v="0.22902264000000003"/>
    <n v="0.68459937300000007"/>
    <n v="2.7383974920000003"/>
    <n v="4"/>
  </r>
  <r>
    <x v="0"/>
    <n v="5"/>
    <s v="Pino triste"/>
    <x v="0"/>
    <x v="0"/>
    <n v="26"/>
    <n v="17"/>
    <n v="5.3093040000000008E-2"/>
    <n v="0.21237216000000003"/>
    <n v="0.33381213519999997"/>
    <n v="1.3352485407999999"/>
    <n v="4"/>
  </r>
  <r>
    <x v="0"/>
    <n v="6"/>
    <s v="Pino triste"/>
    <x v="0"/>
    <x v="1"/>
    <n v="16"/>
    <n v="15"/>
    <n v="2.0106240000000001E-2"/>
    <n v="8.0424960000000004E-2"/>
    <n v="0.1149251448"/>
    <n v="0.45970057920000001"/>
    <n v="4"/>
  </r>
  <r>
    <x v="0"/>
    <n v="7"/>
    <s v="Pino triste"/>
    <x v="0"/>
    <x v="1"/>
    <n v="17"/>
    <n v="13"/>
    <n v="2.2698060000000003E-2"/>
    <n v="9.079224000000001E-2"/>
    <n v="0.11255091319999999"/>
    <n v="0.45020365279999996"/>
    <n v="4"/>
  </r>
  <r>
    <x v="0"/>
    <n v="8"/>
    <s v="Pino triste"/>
    <x v="0"/>
    <x v="1"/>
    <n v="15"/>
    <n v="16"/>
    <n v="1.76715E-2"/>
    <n v="7.0685999999999999E-2"/>
    <n v="0.1080598968"/>
    <n v="0.4322395872"/>
    <n v="4"/>
  </r>
  <r>
    <x v="0"/>
    <n v="9"/>
    <s v="Pino triste"/>
    <x v="0"/>
    <x v="1"/>
    <n v="17"/>
    <n v="15"/>
    <n v="2.2698060000000003E-2"/>
    <n v="9.079224000000001E-2"/>
    <n v="0.1290847188"/>
    <n v="0.51633887519999999"/>
    <n v="4"/>
  </r>
  <r>
    <x v="0"/>
    <n v="10"/>
    <s v="Pino triste"/>
    <x v="0"/>
    <x v="2"/>
    <n v="18"/>
    <n v="15"/>
    <n v="2.5446959999999998E-2"/>
    <n v="0.10178783999999999"/>
    <n v="0.1441024488"/>
    <n v="0.57640979520000002"/>
    <n v="4"/>
  </r>
  <r>
    <x v="0"/>
    <n v="11"/>
    <s v="Pino triste"/>
    <x v="0"/>
    <x v="3"/>
    <n v="15"/>
    <n v="16"/>
    <n v="1.76715E-2"/>
    <n v="7.0685999999999999E-2"/>
    <n v="0.1080598968"/>
    <n v="0.4322395872"/>
    <n v="4"/>
  </r>
  <r>
    <x v="0"/>
    <n v="12"/>
    <s v="Pino triste"/>
    <x v="0"/>
    <x v="4"/>
    <n v="16"/>
    <n v="14"/>
    <n v="2.0106240000000001E-2"/>
    <n v="8.0424960000000004E-2"/>
    <n v="0.1076022136"/>
    <n v="0.43040885439999998"/>
    <n v="4"/>
  </r>
  <r>
    <x v="0"/>
    <n v="13"/>
    <s v="Pino triste"/>
    <x v="0"/>
    <x v="5"/>
    <n v="14"/>
    <n v="13"/>
    <n v="1.5393840000000002E-2"/>
    <n v="6.157536000000001E-2"/>
    <n v="7.7967226400000006E-2"/>
    <n v="0.31186890560000002"/>
    <n v="4"/>
  </r>
  <r>
    <x v="0"/>
    <n v="14"/>
    <s v="Pino triste"/>
    <x v="0"/>
    <x v="1"/>
    <n v="17"/>
    <n v="15"/>
    <n v="2.2698060000000003E-2"/>
    <n v="9.079224000000001E-2"/>
    <n v="0.1290847188"/>
    <n v="0.51633887519999999"/>
    <n v="4"/>
  </r>
  <r>
    <x v="0"/>
    <n v="15"/>
    <s v="Pino triste"/>
    <x v="0"/>
    <x v="1"/>
    <n v="19.899999999999999"/>
    <n v="16"/>
    <n v="3.1102625399999993E-2"/>
    <n v="0.12441050159999997"/>
    <n v="0.18632830083199997"/>
    <n v="0.74531320332799988"/>
    <n v="4"/>
  </r>
  <r>
    <x v="0"/>
    <n v="16"/>
    <s v="Pino triste"/>
    <x v="0"/>
    <x v="0"/>
    <n v="28"/>
    <n v="17"/>
    <n v="6.157536000000001E-2"/>
    <n v="0.24630144000000004"/>
    <n v="0.38633128239999998"/>
    <n v="1.5453251295999999"/>
    <n v="4"/>
  </r>
  <r>
    <x v="0"/>
    <n v="17"/>
    <s v="Pino triste"/>
    <x v="0"/>
    <x v="6"/>
    <n v="37"/>
    <n v="16"/>
    <n v="0.10752125999999999"/>
    <n v="0.43008503999999997"/>
    <n v="0.6316494775999999"/>
    <n v="2.5265979103999996"/>
    <n v="4"/>
  </r>
  <r>
    <x v="1"/>
    <n v="1"/>
    <s v="Pino triste"/>
    <x v="0"/>
    <x v="6"/>
    <n v="30"/>
    <n v="19"/>
    <n v="7.0685999999999999E-2"/>
    <n v="0.282744"/>
    <n v="0.49423009679999996"/>
    <n v="1.9769203871999999"/>
    <n v="4"/>
  </r>
  <r>
    <x v="1"/>
    <n v="2"/>
    <s v="Pino triste"/>
    <x v="0"/>
    <x v="7"/>
    <n v="40"/>
    <n v="20"/>
    <n v="0.12566400000000003"/>
    <n v="0.5026560000000001"/>
    <n v="0.92044757679999989"/>
    <n v="3.6817903071999996"/>
    <n v="4"/>
  </r>
  <r>
    <x v="1"/>
    <n v="3"/>
    <s v="Pino triste"/>
    <x v="0"/>
    <x v="1"/>
    <n v="13"/>
    <n v="12"/>
    <n v="1.3273260000000002E-2"/>
    <n v="5.3093040000000008E-2"/>
    <n v="6.3092522400000003E-2"/>
    <n v="0.25237008960000001"/>
    <n v="4"/>
  </r>
  <r>
    <x v="1"/>
    <n v="4"/>
    <s v="Pino triste"/>
    <x v="0"/>
    <x v="1"/>
    <n v="13"/>
    <n v="12"/>
    <n v="1.3273260000000002E-2"/>
    <n v="5.3093040000000008E-2"/>
    <n v="6.3092522400000003E-2"/>
    <n v="0.25237008960000001"/>
    <n v="4"/>
  </r>
  <r>
    <x v="1"/>
    <n v="5"/>
    <s v="Pino triste"/>
    <x v="0"/>
    <x v="1"/>
    <n v="14"/>
    <n v="12"/>
    <n v="1.5393840000000002E-2"/>
    <n v="6.157536000000001E-2"/>
    <n v="7.2360607199999996E-2"/>
    <n v="0.28944242879999998"/>
    <n v="4"/>
  </r>
  <r>
    <x v="1"/>
    <n v="6"/>
    <s v="Pino triste"/>
    <x v="0"/>
    <x v="1"/>
    <n v="14"/>
    <n v="12"/>
    <n v="1.5393840000000002E-2"/>
    <n v="6.157536000000001E-2"/>
    <n v="7.2360607199999996E-2"/>
    <n v="0.28944242879999998"/>
    <n v="4"/>
  </r>
  <r>
    <x v="1"/>
    <n v="7"/>
    <s v="Pino triste"/>
    <x v="0"/>
    <x v="6"/>
    <n v="35"/>
    <n v="17"/>
    <n v="9.6211499999999991E-2"/>
    <n v="0.38484599999999997"/>
    <n v="0.60078446679999997"/>
    <n v="2.4031378671999999"/>
    <n v="4"/>
  </r>
  <r>
    <x v="1"/>
    <n v="8"/>
    <s v="Pino triste"/>
    <x v="0"/>
    <x v="1"/>
    <n v="15"/>
    <n v="13"/>
    <n v="1.76715E-2"/>
    <n v="7.0685999999999999E-2"/>
    <n v="8.8751386799999998E-2"/>
    <n v="0.35500554719999999"/>
    <n v="4"/>
  </r>
  <r>
    <x v="1"/>
    <n v="9"/>
    <s v="Chulube "/>
    <x v="1"/>
    <x v="1"/>
    <n v="14"/>
    <n v="12"/>
    <n v="1.5393840000000002E-2"/>
    <n v="6.157536000000001E-2"/>
    <n v="0.21770291400000003"/>
    <n v="0.8708116560000001"/>
    <n v="4"/>
  </r>
  <r>
    <x v="1"/>
    <n v="10"/>
    <s v="Pino triste"/>
    <x v="0"/>
    <x v="0"/>
    <n v="20"/>
    <n v="12"/>
    <n v="3.1416000000000006E-2"/>
    <n v="0.12566400000000003"/>
    <n v="0.14238613680000001"/>
    <n v="0.56954454720000003"/>
    <n v="4"/>
  </r>
  <r>
    <x v="1"/>
    <n v="11"/>
    <s v="Chulube "/>
    <x v="1"/>
    <x v="6"/>
    <n v="33"/>
    <n v="15"/>
    <n v="8.5530060000000005E-2"/>
    <n v="0.34212024000000002"/>
    <n v="0.86789843100000008"/>
    <n v="3.4715937240000003"/>
    <n v="4"/>
  </r>
  <r>
    <x v="1"/>
    <n v="12"/>
    <s v="Chulube "/>
    <x v="1"/>
    <x v="7"/>
    <n v="41"/>
    <n v="15"/>
    <n v="0.13202573999999997"/>
    <n v="0.5281029599999999"/>
    <n v="1.2808095509999999"/>
    <n v="5.1232382039999997"/>
    <n v="4"/>
  </r>
  <r>
    <x v="1"/>
    <n v="13"/>
    <s v="Pino triste"/>
    <x v="0"/>
    <x v="0"/>
    <n v="21"/>
    <n v="10"/>
    <n v="3.4636139999999996E-2"/>
    <n v="0.13854455999999998"/>
    <n v="0.13123010879999999"/>
    <n v="0.52492043519999998"/>
    <n v="4"/>
  </r>
  <r>
    <x v="1"/>
    <n v="14"/>
    <s v="Pino triste"/>
    <x v="0"/>
    <x v="1"/>
    <n v="16"/>
    <n v="10"/>
    <n v="2.0106240000000001E-2"/>
    <n v="8.0424960000000004E-2"/>
    <n v="7.8310488799999994E-2"/>
    <n v="0.31324195519999998"/>
    <n v="4"/>
  </r>
  <r>
    <x v="2"/>
    <n v="1"/>
    <s v="Pino triste"/>
    <x v="0"/>
    <x v="0"/>
    <n v="20"/>
    <n v="15"/>
    <n v="3.1416000000000006E-2"/>
    <n v="0.12566400000000003"/>
    <n v="0.17671237679999999"/>
    <n v="0.70684950719999995"/>
    <n v="4"/>
  </r>
  <r>
    <x v="2"/>
    <n v="2"/>
    <s v="Pino triste"/>
    <x v="0"/>
    <x v="6"/>
    <n v="34.4"/>
    <n v="18"/>
    <n v="9.2941094399999979E-2"/>
    <n v="0.37176437759999992"/>
    <n v="0.61438566729599997"/>
    <n v="2.4575426691839999"/>
    <n v="4"/>
  </r>
  <r>
    <x v="2"/>
    <n v="3"/>
    <s v="Pino triste"/>
    <x v="0"/>
    <x v="0"/>
    <n v="24"/>
    <n v="15"/>
    <n v="4.5239040000000001E-2"/>
    <n v="0.18095616"/>
    <n v="0.25223010479999997"/>
    <n v="1.0089204191999999"/>
    <n v="4"/>
  </r>
  <r>
    <x v="2"/>
    <n v="4"/>
    <s v="Pino triste"/>
    <x v="0"/>
    <x v="0"/>
    <n v="26"/>
    <n v="14"/>
    <n v="5.3093040000000008E-2"/>
    <n v="0.21237216000000003"/>
    <n v="0.27580078959999998"/>
    <n v="1.1032031583999999"/>
    <n v="4"/>
  </r>
  <r>
    <x v="2"/>
    <n v="5"/>
    <s v="Pino triste"/>
    <x v="0"/>
    <x v="6"/>
    <n v="30.1"/>
    <n v="14"/>
    <n v="7.1158025399999991E-2"/>
    <n v="0.28463210159999996"/>
    <n v="0.367913538328"/>
    <n v="1.471654153312"/>
    <n v="4"/>
  </r>
  <r>
    <x v="2"/>
    <n v="6"/>
    <s v="Pino triste"/>
    <x v="0"/>
    <x v="1"/>
    <n v="17"/>
    <n v="11"/>
    <n v="2.2698060000000003E-2"/>
    <n v="9.079224000000001E-2"/>
    <n v="9.6017107599999998E-2"/>
    <n v="0.38406843039999999"/>
    <n v="4"/>
  </r>
  <r>
    <x v="2"/>
    <n v="7"/>
    <s v="Pino triste"/>
    <x v="0"/>
    <x v="1"/>
    <n v="14"/>
    <n v="10"/>
    <n v="1.5393840000000002E-2"/>
    <n v="6.157536000000001E-2"/>
    <n v="6.114736879999999E-2"/>
    <n v="0.24458947519999996"/>
    <n v="4"/>
  </r>
  <r>
    <x v="2"/>
    <n v="8"/>
    <s v="Pino triste"/>
    <x v="0"/>
    <x v="0"/>
    <n v="26"/>
    <n v="13"/>
    <n v="5.3093040000000008E-2"/>
    <n v="0.21237216000000003"/>
    <n v="0.25646367439999995"/>
    <n v="1.0258546975999998"/>
    <n v="4"/>
  </r>
  <r>
    <x v="2"/>
    <n v="9"/>
    <s v="Pino triste"/>
    <x v="0"/>
    <x v="0"/>
    <n v="25.4"/>
    <n v="14"/>
    <n v="5.06708664E-2"/>
    <n v="0.2026834656"/>
    <n v="0.26345020844799993"/>
    <n v="1.0538008337919997"/>
    <n v="4"/>
  </r>
  <r>
    <x v="2"/>
    <n v="10"/>
    <s v="Pino triste"/>
    <x v="0"/>
    <x v="0"/>
    <n v="26"/>
    <n v="14"/>
    <n v="5.3093040000000008E-2"/>
    <n v="0.21237216000000003"/>
    <n v="0.27580078959999998"/>
    <n v="1.1032031583999999"/>
    <n v="4"/>
  </r>
  <r>
    <x v="2"/>
    <n v="11"/>
    <s v="Pino triste"/>
    <x v="0"/>
    <x v="0"/>
    <n v="20"/>
    <n v="15"/>
    <n v="3.1416000000000006E-2"/>
    <n v="0.12566400000000003"/>
    <n v="0.17671237679999999"/>
    <n v="0.70684950719999995"/>
    <n v="4"/>
  </r>
  <r>
    <x v="2"/>
    <n v="12"/>
    <s v="Pino triste"/>
    <x v="0"/>
    <x v="0"/>
    <n v="24.3"/>
    <n v="15"/>
    <n v="4.63770846E-2"/>
    <n v="0.1855083384"/>
    <n v="0.25844744502"/>
    <n v="1.03378978008"/>
    <n v="4"/>
  </r>
  <r>
    <x v="2"/>
    <n v="13"/>
    <s v="Pino triste"/>
    <x v="0"/>
    <x v="6"/>
    <n v="38.299999999999997"/>
    <n v="17"/>
    <n v="0.11520954059999997"/>
    <n v="0.46083816239999986"/>
    <n v="0.71841276787599984"/>
    <n v="2.8736510715039993"/>
    <n v="4"/>
  </r>
  <r>
    <x v="2"/>
    <n v="14"/>
    <s v="Pino triste"/>
    <x v="0"/>
    <x v="0"/>
    <n v="24"/>
    <n v="8"/>
    <n v="4.5239040000000001E-2"/>
    <n v="0.18095616"/>
    <n v="0.1368939384"/>
    <n v="0.54757575359999999"/>
    <n v="4"/>
  </r>
  <r>
    <x v="2"/>
    <n v="15"/>
    <s v="Pino triste"/>
    <x v="0"/>
    <x v="0"/>
    <n v="23"/>
    <n v="9"/>
    <n v="4.154766E-2"/>
    <n v="0.16619064"/>
    <n v="0.141270534"/>
    <n v="0.56508213600000001"/>
    <n v="4"/>
  </r>
  <r>
    <x v="2"/>
    <n v="16"/>
    <s v="Pino triste"/>
    <x v="0"/>
    <x v="6"/>
    <n v="32.700000000000003"/>
    <n v="16"/>
    <n v="8.3982036600000004E-2"/>
    <n v="0.33592814640000002"/>
    <n v="0.49447724572800006"/>
    <n v="1.9779089829120002"/>
    <n v="4"/>
  </r>
  <r>
    <x v="2"/>
    <n v="17"/>
    <s v="Pino triste"/>
    <x v="0"/>
    <x v="0"/>
    <n v="23"/>
    <n v="16"/>
    <n v="4.154766E-2"/>
    <n v="0.16619064"/>
    <n v="0.24719558959999999"/>
    <n v="0.98878235839999995"/>
    <n v="4"/>
  </r>
  <r>
    <x v="3"/>
    <n v="1"/>
    <s v="Pino triste"/>
    <x v="0"/>
    <x v="0"/>
    <n v="25"/>
    <n v="14"/>
    <n v="4.9087499999999999E-2"/>
    <n v="0.19635"/>
    <n v="0.25537667679999998"/>
    <n v="1.0215067071999999"/>
    <n v="4"/>
  </r>
  <r>
    <x v="3"/>
    <n v="2"/>
    <s v="Pino triste"/>
    <x v="0"/>
    <x v="6"/>
    <n v="38"/>
    <n v="15"/>
    <n v="0.11341176"/>
    <n v="0.45364704"/>
    <n v="0.62466980879999989"/>
    <n v="2.4986792351999996"/>
    <n v="4"/>
  </r>
  <r>
    <x v="3"/>
    <n v="3"/>
    <s v="Pino triste"/>
    <x v="0"/>
    <x v="0"/>
    <n v="25"/>
    <n v="13"/>
    <n v="4.9087499999999999E-2"/>
    <n v="0.19635"/>
    <n v="0.2374984268"/>
    <n v="0.94999370719999998"/>
    <n v="4"/>
  </r>
  <r>
    <x v="3"/>
    <n v="4"/>
    <s v="Pino triste"/>
    <x v="0"/>
    <x v="1"/>
    <n v="17"/>
    <n v="10"/>
    <n v="2.2698060000000003E-2"/>
    <n v="9.079224000000001E-2"/>
    <n v="8.7750204799999995E-2"/>
    <n v="0.35100081919999998"/>
    <n v="4"/>
  </r>
  <r>
    <x v="3"/>
    <n v="5"/>
    <s v="Pino triste"/>
    <x v="0"/>
    <x v="0"/>
    <n v="29"/>
    <n v="14"/>
    <n v="6.6052139999999995E-2"/>
    <n v="0.26420855999999998"/>
    <n v="0.34187880159999995"/>
    <n v="1.3675152063999998"/>
    <n v="4"/>
  </r>
  <r>
    <x v="3"/>
    <n v="6"/>
    <s v="Pino triste"/>
    <x v="0"/>
    <x v="1"/>
    <n v="18"/>
    <n v="10"/>
    <n v="2.5446959999999998E-2"/>
    <n v="0.10178783999999999"/>
    <n v="9.77620248E-2"/>
    <n v="0.3910480992"/>
    <n v="4"/>
  </r>
  <r>
    <x v="3"/>
    <n v="7"/>
    <s v="Pino triste"/>
    <x v="0"/>
    <x v="1"/>
    <n v="14"/>
    <n v="8"/>
    <n v="1.5393840000000002E-2"/>
    <n v="6.157536000000001E-2"/>
    <n v="4.9934130399999999E-2"/>
    <n v="0.19973652159999999"/>
    <n v="4"/>
  </r>
  <r>
    <x v="3"/>
    <n v="8"/>
    <s v="Pino triste"/>
    <x v="0"/>
    <x v="1"/>
    <n v="16"/>
    <n v="13"/>
    <n v="2.0106240000000001E-2"/>
    <n v="8.0424960000000004E-2"/>
    <n v="0.1002792824"/>
    <n v="0.40111712960000001"/>
    <n v="4"/>
  </r>
  <r>
    <x v="3"/>
    <n v="9"/>
    <s v="Pino triste"/>
    <x v="0"/>
    <x v="0"/>
    <n v="22"/>
    <n v="16"/>
    <n v="3.8013359999999996E-2"/>
    <n v="0.15205343999999998"/>
    <n v="0.22659984559999999"/>
    <n v="0.90639938239999995"/>
    <n v="4"/>
  </r>
  <r>
    <x v="3"/>
    <n v="10"/>
    <s v="Pino triste"/>
    <x v="0"/>
    <x v="1"/>
    <n v="18"/>
    <n v="15"/>
    <n v="2.5446959999999998E-2"/>
    <n v="0.10178783999999999"/>
    <n v="0.1441024488"/>
    <n v="0.57640979520000002"/>
    <n v="4"/>
  </r>
  <r>
    <x v="3"/>
    <n v="11"/>
    <s v="Pino triste"/>
    <x v="0"/>
    <x v="1"/>
    <n v="17"/>
    <n v="14"/>
    <n v="2.2698060000000003E-2"/>
    <n v="9.079224000000001E-2"/>
    <n v="0.12081781599999999"/>
    <n v="0.48327126399999998"/>
    <n v="4"/>
  </r>
  <r>
    <x v="3"/>
    <n v="12"/>
    <s v="Pino triste"/>
    <x v="0"/>
    <x v="0"/>
    <n v="22"/>
    <n v="14"/>
    <n v="3.8013359999999996E-2"/>
    <n v="0.15205343999999998"/>
    <n v="0.198910012"/>
    <n v="0.79564004799999999"/>
    <n v="4"/>
  </r>
  <r>
    <x v="3"/>
    <n v="13"/>
    <s v="Pino triste"/>
    <x v="0"/>
    <x v="0"/>
    <n v="23"/>
    <n v="16"/>
    <n v="4.154766E-2"/>
    <n v="0.16619064"/>
    <n v="0.24719558959999999"/>
    <n v="0.98878235839999995"/>
    <n v="4"/>
  </r>
  <r>
    <x v="3"/>
    <n v="14"/>
    <s v="Pino triste"/>
    <x v="0"/>
    <x v="0"/>
    <n v="23"/>
    <n v="15"/>
    <n v="4.154766E-2"/>
    <n v="0.16619064"/>
    <n v="0.23206343879999999"/>
    <n v="0.92825375519999997"/>
    <n v="4"/>
  </r>
  <r>
    <x v="3"/>
    <n v="15"/>
    <s v="Chulube "/>
    <x v="1"/>
    <x v="1"/>
    <n v="15.7"/>
    <n v="10"/>
    <n v="1.9359324600000002E-2"/>
    <n v="7.7437298400000007E-2"/>
    <n v="0.22295265110000001"/>
    <n v="0.89181060440000004"/>
    <n v="4"/>
  </r>
  <r>
    <x v="3"/>
    <n v="16"/>
    <s v="Chulube "/>
    <x v="1"/>
    <x v="1"/>
    <n v="16"/>
    <n v="12"/>
    <n v="2.0106240000000001E-2"/>
    <n v="8.0424960000000004E-2"/>
    <n v="0.25118219400000003"/>
    <n v="1.0047287760000001"/>
    <n v="4"/>
  </r>
  <r>
    <x v="3"/>
    <n v="17"/>
    <s v="Chulube "/>
    <x v="1"/>
    <x v="1"/>
    <n v="17"/>
    <n v="13"/>
    <n v="2.2698060000000003E-2"/>
    <n v="9.079224000000001E-2"/>
    <n v="0.28303400900000003"/>
    <n v="1.1321360360000001"/>
    <n v="4"/>
  </r>
  <r>
    <x v="3"/>
    <n v="18"/>
    <s v="Chulube "/>
    <x v="1"/>
    <x v="1"/>
    <n v="19"/>
    <n v="12"/>
    <n v="2.835294E-2"/>
    <n v="0.11341176"/>
    <n v="0.309770934"/>
    <n v="1.239083736"/>
    <n v="4"/>
  </r>
  <r>
    <x v="4"/>
    <n v="1"/>
    <s v="Pino triste"/>
    <x v="0"/>
    <x v="1"/>
    <n v="17.3"/>
    <n v="13"/>
    <n v="2.3506236600000004E-2"/>
    <n v="9.4024946400000017E-2"/>
    <n v="0.11637743080400001"/>
    <n v="0.46550972321600004"/>
    <n v="4"/>
  </r>
  <r>
    <x v="4"/>
    <n v="2"/>
    <s v="Pino triste"/>
    <x v="0"/>
    <x v="1"/>
    <n v="13"/>
    <n v="10"/>
    <n v="1.3273260000000002E-2"/>
    <n v="5.3093040000000008E-2"/>
    <n v="5.3423964800000001E-2"/>
    <n v="0.2136958592"/>
    <n v="4"/>
  </r>
  <r>
    <x v="4"/>
    <n v="3"/>
    <s v="Pino triste"/>
    <x v="0"/>
    <x v="6"/>
    <n v="33"/>
    <n v="17"/>
    <n v="8.5530060000000005E-2"/>
    <n v="0.34212024000000002"/>
    <n v="0.53464924439999995"/>
    <n v="2.1385969775999998"/>
    <n v="4"/>
  </r>
  <r>
    <x v="4"/>
    <n v="4"/>
    <s v="Pino triste"/>
    <x v="0"/>
    <x v="0"/>
    <n v="20"/>
    <n v="14"/>
    <n v="3.1416000000000006E-2"/>
    <n v="0.12566400000000003"/>
    <n v="0.16527029679999999"/>
    <n v="0.66108118719999998"/>
    <n v="4"/>
  </r>
  <r>
    <x v="4"/>
    <n v="5"/>
    <s v="Pino triste"/>
    <x v="0"/>
    <x v="7"/>
    <n v="45"/>
    <n v="20"/>
    <n v="0.1590435"/>
    <n v="0.63617400000000002"/>
    <n v="1.1635917767999999"/>
    <n v="4.6543671071999997"/>
    <n v="4"/>
  </r>
  <r>
    <x v="4"/>
    <n v="6"/>
    <s v="Pino triste"/>
    <x v="0"/>
    <x v="1"/>
    <n v="18"/>
    <n v="15"/>
    <n v="2.5446959999999998E-2"/>
    <n v="0.10178783999999999"/>
    <n v="0.1441024488"/>
    <n v="0.57640979520000002"/>
    <n v="4"/>
  </r>
  <r>
    <x v="4"/>
    <n v="7"/>
    <s v="Pino triste"/>
    <x v="0"/>
    <x v="1"/>
    <n v="16.100000000000001"/>
    <n v="12"/>
    <n v="2.0358353400000001E-2"/>
    <n v="8.1433413600000004E-2"/>
    <n v="9.4058223504000005E-2"/>
    <n v="0.37623289401600002"/>
    <n v="4"/>
  </r>
  <r>
    <x v="4"/>
    <n v="8"/>
    <s v="Pino triste"/>
    <x v="0"/>
    <x v="7"/>
    <n v="40.5"/>
    <n v="15"/>
    <n v="0.12882523500000001"/>
    <n v="0.51530094000000004"/>
    <n v="0.70887636629999995"/>
    <n v="2.8355054651999998"/>
    <n v="4"/>
  </r>
  <r>
    <x v="4"/>
    <n v="9"/>
    <s v="Pino triste"/>
    <x v="0"/>
    <x v="1"/>
    <n v="16"/>
    <n v="13"/>
    <n v="2.0106240000000001E-2"/>
    <n v="8.0424960000000004E-2"/>
    <n v="0.1002792824"/>
    <n v="0.40111712960000001"/>
    <n v="4"/>
  </r>
  <r>
    <x v="4"/>
    <n v="10"/>
    <s v="Chulube "/>
    <x v="1"/>
    <x v="0"/>
    <n v="23.2"/>
    <n v="18"/>
    <n v="4.2273369599999992E-2"/>
    <n v="0.16909347839999997"/>
    <n v="0.55883445768000006"/>
    <n v="2.2353378307200003"/>
    <n v="4"/>
  </r>
  <r>
    <x v="4"/>
    <n v="12"/>
    <s v="Ciprés "/>
    <x v="2"/>
    <x v="7"/>
    <n v="49.9"/>
    <n v="22"/>
    <n v="0.19556538539999999"/>
    <n v="0.78226154159999994"/>
    <n v="1.5973476051479998"/>
    <n v="6.3893904205919991"/>
    <n v="4"/>
  </r>
  <r>
    <x v="4"/>
    <n v="13"/>
    <s v="Ciprés "/>
    <x v="2"/>
    <x v="0"/>
    <n v="29"/>
    <n v="17"/>
    <n v="6.6052139999999995E-2"/>
    <n v="0.26420855999999998"/>
    <n v="0.42684007199999996"/>
    <n v="1.7073602879999998"/>
    <n v="4"/>
  </r>
  <r>
    <x v="4"/>
    <n v="15"/>
    <s v="Ciprés "/>
    <x v="2"/>
    <x v="0"/>
    <n v="22"/>
    <n v="17"/>
    <n v="3.8013359999999996E-2"/>
    <n v="0.15205343999999998"/>
    <n v="0.25136464739999997"/>
    <n v="1.0054585895999999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a dinámica1" cacheId="48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A3:B10" firstHeaderRow="1" firstDataRow="1" firstDataCol="1"/>
  <pivotFields count="12">
    <pivotField showAll="0"/>
    <pivotField dataField="1" showAll="0"/>
    <pivotField axis="axisRow" showAll="0">
      <items count="4">
        <item x="0"/>
        <item x="1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</pivotFields>
  <rowFields count="2">
    <field x="3"/>
    <field x="2"/>
  </rowFields>
  <rowItems count="7">
    <i>
      <x/>
    </i>
    <i r="1">
      <x/>
    </i>
    <i>
      <x v="1"/>
    </i>
    <i r="1">
      <x v="1"/>
    </i>
    <i>
      <x v="2"/>
    </i>
    <i r="1">
      <x v="2"/>
    </i>
    <i t="grand">
      <x/>
    </i>
  </rowItems>
  <colItems count="1">
    <i/>
  </colItems>
  <dataFields count="1">
    <dataField name="Cuenta de No. Arbol" fld="1" subtotal="count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2" cacheId="48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A3:F8" firstHeaderRow="1" firstDataRow="2" firstDataCol="1"/>
  <pivotFields count="12"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dataField="1" showAll="0"/>
    <pivotField dataField="1" showAll="0"/>
    <pivotField numFmtId="2" showAll="0"/>
    <pivotField dataField="1" numFmtId="2" showAll="0"/>
    <pivotField numFmtId="2" showAll="0"/>
    <pivotField dataField="1" numFmtId="2" showAll="0"/>
    <pivotField dataField="1" numFmtId="2"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a de Densidad/Ha." fld="11" baseField="0" baseItem="0" numFmtId="1"/>
    <dataField name="Promedio de DAP (cm)" fld="5" subtotal="average" baseField="0" baseItem="0" numFmtId="2"/>
    <dataField name="Promedio de Altura (m)" fld="6" subtotal="average" baseField="0" baseItem="0" numFmtId="2"/>
    <dataField name="Suma de AB/Ha." fld="8" baseField="0" baseItem="0" numFmtId="2"/>
    <dataField name="Suma de Volumen/Ha." fld="10" baseField="0" baseItem="0" numFmtId="2"/>
  </dataFields>
  <formats count="2">
    <format dxfId="3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8">
      <pivotArea outline="0" collapsedLevelsAreSubtotals="1" fieldPosition="0">
        <references count="1">
          <reference field="4294967294" count="4" selected="0"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la dinámica3" cacheId="49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rowHeaderCaption="No. De Parcela">
  <location ref="A3:F10" firstHeaderRow="1" firstDataRow="2" firstDataCol="1"/>
  <pivotFields count="12">
    <pivotField axis="axisRow" showAll="0">
      <items count="7">
        <item x="0"/>
        <item x="1"/>
        <item x="2"/>
        <item x="3"/>
        <item x="4"/>
        <item m="1" x="5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numFmtId="2" showAll="0"/>
    <pivotField dataField="1" numFmtId="2" showAll="0"/>
    <pivotField numFmtId="2" showAll="0"/>
    <pivotField dataField="1" numFmtId="2" showAll="0"/>
    <pivotField dataField="1" numFmtId="2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a de Densidad/Ha." fld="11" baseField="0" baseItem="0" numFmtId="1"/>
    <dataField name="Promedio de DAP (cm)" fld="5" subtotal="average" baseField="0" baseItem="0" numFmtId="2"/>
    <dataField name="Promedio de Altura (m)" fld="6" subtotal="average" baseField="0" baseItem="0" numFmtId="2"/>
    <dataField name="Suma de AB/Ha." fld="8" baseField="0" baseItem="0" numFmtId="2"/>
    <dataField name="Suma de Volumen/Ha." fld="10" baseField="0" baseItem="0" numFmtId="2"/>
  </dataFields>
  <formats count="21">
    <format dxfId="3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6">
      <pivotArea outline="0" collapsedLevelsAreSubtotals="1" fieldPosition="0">
        <references count="1">
          <reference field="4294967294" count="4" selected="0">
            <x v="1"/>
            <x v="2"/>
            <x v="3"/>
            <x v="4"/>
          </reference>
        </references>
      </pivotArea>
    </format>
    <format dxfId="35">
      <pivotArea outline="0" collapsedLevelsAreSubtotals="1" fieldPosition="0"/>
    </format>
    <format dxfId="34">
      <pivotArea field="0" type="button" dataOnly="0" labelOnly="1" outline="0" axis="axisRow" fieldPosition="0"/>
    </format>
    <format dxfId="33">
      <pivotArea dataOnly="0" labelOnly="1" fieldPosition="0">
        <references count="1">
          <reference field="0" count="0"/>
        </references>
      </pivotArea>
    </format>
    <format dxfId="32">
      <pivotArea dataOnly="0" labelOnly="1" grandRow="1" outline="0" fieldPosition="0"/>
    </format>
    <format dxfId="31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30">
      <pivotArea outline="0" collapsedLevelsAreSubtotals="1" fieldPosition="0"/>
    </format>
    <format dxfId="29">
      <pivotArea field="0" type="button" dataOnly="0" labelOnly="1" outline="0" axis="axisRow" fieldPosition="0"/>
    </format>
    <format dxfId="28">
      <pivotArea dataOnly="0" labelOnly="1" fieldPosition="0">
        <references count="1">
          <reference field="0" count="0"/>
        </references>
      </pivotArea>
    </format>
    <format dxfId="27">
      <pivotArea dataOnly="0" labelOnly="1" grandRow="1" outline="0" fieldPosition="0"/>
    </format>
    <format dxfId="26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25">
      <pivotArea outline="0" collapsedLevelsAreSubtotals="1" fieldPosition="0"/>
    </format>
    <format dxfId="24">
      <pivotArea field="0" type="button" dataOnly="0" labelOnly="1" outline="0" axis="axisRow" fieldPosition="0"/>
    </format>
    <format dxfId="23">
      <pivotArea dataOnly="0" labelOnly="1" fieldPosition="0">
        <references count="1">
          <reference field="0" count="0"/>
        </references>
      </pivotArea>
    </format>
    <format dxfId="22">
      <pivotArea dataOnly="0" labelOnly="1" grandRow="1" outline="0" fieldPosition="0"/>
    </format>
    <format dxfId="21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20">
      <pivotArea field="0" type="button" dataOnly="0" labelOnly="1" outline="0" axis="axisRow" fieldPosition="0"/>
    </format>
    <format dxfId="19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8">
      <pivotArea grandRow="1" outline="0" collapsedLevelsAreSubtotals="1" fieldPosition="0"/>
    </format>
    <format dxfId="17">
      <pivotArea dataOnly="0" labelOnly="1" grandRow="1" outline="0" fieldPosition="0"/>
    </format>
  </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la dinámica4" cacheId="49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rowHeaderCaption="Especie y Clase Diametrica">
  <location ref="A3:F22" firstHeaderRow="1" firstDataRow="2" firstDataCol="1"/>
  <pivotFields count="12"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axis="axisRow" showAll="0">
      <items count="10">
        <item x="1"/>
        <item x="0"/>
        <item x="6"/>
        <item x="7"/>
        <item m="1" x="8"/>
        <item x="2"/>
        <item x="3"/>
        <item x="4"/>
        <item x="5"/>
        <item t="default"/>
      </items>
    </pivotField>
    <pivotField dataField="1" showAll="0"/>
    <pivotField dataField="1" showAll="0"/>
    <pivotField numFmtId="2" showAll="0"/>
    <pivotField dataField="1" numFmtId="2" showAll="0"/>
    <pivotField numFmtId="2" showAll="0"/>
    <pivotField dataField="1" numFmtId="2" showAll="0"/>
    <pivotField dataField="1" numFmtId="2" showAll="0"/>
  </pivotFields>
  <rowFields count="2">
    <field x="3"/>
    <field x="4"/>
  </rowFields>
  <rowItems count="18">
    <i>
      <x/>
    </i>
    <i r="1">
      <x/>
    </i>
    <i r="1">
      <x v="1"/>
    </i>
    <i r="1">
      <x v="2"/>
    </i>
    <i r="1">
      <x v="3"/>
    </i>
    <i r="1">
      <x v="5"/>
    </i>
    <i r="1">
      <x v="6"/>
    </i>
    <i r="1">
      <x v="7"/>
    </i>
    <i r="1">
      <x v="8"/>
    </i>
    <i>
      <x v="1"/>
    </i>
    <i r="1">
      <x/>
    </i>
    <i r="1">
      <x v="1"/>
    </i>
    <i r="1">
      <x v="2"/>
    </i>
    <i r="1">
      <x v="3"/>
    </i>
    <i>
      <x v="2"/>
    </i>
    <i r="1">
      <x v="1"/>
    </i>
    <i r="1">
      <x v="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a de Densidad/Ha." fld="11" baseField="0" baseItem="0" numFmtId="1"/>
    <dataField name="Promedio de DAP (cm)" fld="5" subtotal="average" baseField="0" baseItem="0" numFmtId="2"/>
    <dataField name="Promedio de Altura (m)" fld="6" subtotal="average" baseField="0" baseItem="0" numFmtId="2"/>
    <dataField name="Suma de AB/Ha." fld="8" baseField="0" baseItem="0" numFmtId="2"/>
    <dataField name="Suma de Volumen/Ha." fld="10" baseField="0" baseItem="0" numFmtId="2"/>
  </dataFields>
  <formats count="17">
    <format dxfId="1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5">
      <pivotArea outline="0" collapsedLevelsAreSubtotals="1" fieldPosition="0">
        <references count="1">
          <reference field="4294967294" count="4" selected="0">
            <x v="1"/>
            <x v="2"/>
            <x v="3"/>
            <x v="4"/>
          </reference>
        </references>
      </pivotArea>
    </format>
    <format dxfId="14">
      <pivotArea field="3" type="button" dataOnly="0" labelOnly="1" outline="0" axis="axisRow" fieldPosition="0"/>
    </format>
    <format dxfId="13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2">
      <pivotArea outline="0" collapsedLevelsAreSubtotals="1" fieldPosition="0"/>
    </format>
    <format dxfId="11">
      <pivotArea field="3" type="button" dataOnly="0" labelOnly="1" outline="0" axis="axisRow" fieldPosition="0"/>
    </format>
    <format dxfId="10">
      <pivotArea dataOnly="0" labelOnly="1" fieldPosition="0">
        <references count="1">
          <reference field="3" count="0"/>
        </references>
      </pivotArea>
    </format>
    <format dxfId="9">
      <pivotArea dataOnly="0" labelOnly="1" grandRow="1" outline="0" fieldPosition="0"/>
    </format>
    <format dxfId="8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7">
      <pivotArea field="3" type="button" dataOnly="0" labelOnly="1" outline="0" axis="axisRow" fieldPosition="0"/>
    </format>
    <format dxfId="6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5">
      <pivotArea field="3" type="button" dataOnly="0" labelOnly="1" outline="0" axis="axisRow" fieldPosition="0"/>
    </format>
    <format dxfId="4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3">
      <pivotArea grandRow="1" outline="0" collapsedLevelsAreSubtotals="1" fieldPosition="0"/>
    </format>
    <format dxfId="2">
      <pivotArea dataOnly="0" labelOnly="1" grandRow="1" outline="0" fieldPosition="0"/>
    </format>
    <format dxfId="1">
      <pivotArea outline="0" collapsedLevelsAreSubtotals="1" fieldPosition="0"/>
    </format>
    <format dxfId="0">
      <pivotArea field="3" grandRow="1" outline="0" collapsedLevelsAreSubtotals="1" axis="axisRow" fieldPosition="0">
        <references count="1">
          <reference field="4294967294" count="2" selected="0"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"/>
  <sheetViews>
    <sheetView zoomScale="78" zoomScaleNormal="78" workbookViewId="0">
      <selection activeCell="K2" sqref="K2"/>
    </sheetView>
  </sheetViews>
  <sheetFormatPr baseColWidth="10" defaultColWidth="11.42578125" defaultRowHeight="15" x14ac:dyDescent="0.25"/>
  <cols>
    <col min="1" max="1" width="9.140625" customWidth="1"/>
    <col min="2" max="2" width="9.5703125" customWidth="1"/>
    <col min="3" max="3" width="13" customWidth="1"/>
    <col min="4" max="4" width="24.140625" customWidth="1"/>
  </cols>
  <sheetData>
    <row r="1" spans="1:16" ht="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6" t="s">
        <v>54</v>
      </c>
    </row>
    <row r="2" spans="1:16" x14ac:dyDescent="0.25">
      <c r="A2" s="71">
        <v>1</v>
      </c>
      <c r="B2" s="71">
        <v>1</v>
      </c>
      <c r="C2" s="70" t="s">
        <v>58</v>
      </c>
      <c r="D2" s="71" t="s">
        <v>59</v>
      </c>
      <c r="E2" s="71" t="s">
        <v>53</v>
      </c>
      <c r="F2" s="70">
        <v>24</v>
      </c>
      <c r="G2" s="70">
        <v>18</v>
      </c>
      <c r="H2" s="72">
        <f>0.7854*(F2/100)^2</f>
        <v>4.5239040000000001E-2</v>
      </c>
      <c r="I2" s="73">
        <f>H2*1/$O$3</f>
        <v>0.18095616</v>
      </c>
      <c r="J2" s="72">
        <f>(0.0050811768+0.0000286052*(F2^2*G2))</f>
        <v>0.30165989039999996</v>
      </c>
      <c r="K2" s="73">
        <f>J2/$O$3</f>
        <v>1.2066395615999999</v>
      </c>
      <c r="L2" s="73">
        <f>1*1/$O$3</f>
        <v>4</v>
      </c>
      <c r="M2" s="64"/>
      <c r="N2" s="65" t="s">
        <v>56</v>
      </c>
      <c r="O2" s="57" t="s">
        <v>55</v>
      </c>
    </row>
    <row r="3" spans="1:16" x14ac:dyDescent="0.25">
      <c r="A3" s="71">
        <v>1</v>
      </c>
      <c r="B3" s="71">
        <v>2</v>
      </c>
      <c r="C3" s="70" t="s">
        <v>58</v>
      </c>
      <c r="D3" s="71" t="s">
        <v>59</v>
      </c>
      <c r="E3" s="71" t="s">
        <v>53</v>
      </c>
      <c r="F3" s="70">
        <v>24</v>
      </c>
      <c r="G3" s="70">
        <v>15</v>
      </c>
      <c r="H3" s="72">
        <f>0.7854*(F3/100)^2</f>
        <v>4.5239040000000001E-2</v>
      </c>
      <c r="I3" s="73">
        <f t="shared" ref="I3:I27" si="0">H3*1/$O$3</f>
        <v>0.18095616</v>
      </c>
      <c r="J3" s="72">
        <f t="shared" ref="J3:J4" si="1">(0.0050811768+0.0000286052*(F3^2*G3))</f>
        <v>0.25223010479999997</v>
      </c>
      <c r="K3" s="73">
        <f t="shared" ref="K3:K27" si="2">J3/$O$3</f>
        <v>1.0089204191999999</v>
      </c>
      <c r="L3" s="73">
        <f t="shared" ref="L3:L30" si="3">1*1/$O$3</f>
        <v>4</v>
      </c>
      <c r="M3" s="64"/>
      <c r="N3" s="66">
        <v>2500</v>
      </c>
      <c r="O3" s="58">
        <f>N3/10000</f>
        <v>0.25</v>
      </c>
    </row>
    <row r="4" spans="1:16" x14ac:dyDescent="0.25">
      <c r="A4" s="71">
        <v>1</v>
      </c>
      <c r="B4" s="71">
        <v>3</v>
      </c>
      <c r="C4" s="70" t="s">
        <v>58</v>
      </c>
      <c r="D4" s="71" t="s">
        <v>59</v>
      </c>
      <c r="E4" s="71" t="s">
        <v>52</v>
      </c>
      <c r="F4" s="70">
        <v>19.899999999999999</v>
      </c>
      <c r="G4" s="70">
        <v>14</v>
      </c>
      <c r="H4" s="72">
        <f t="shared" ref="H4:H30" si="4">0.7854*(F4/100)^2</f>
        <v>3.1102625399999993E-2</v>
      </c>
      <c r="I4" s="73">
        <f t="shared" si="0"/>
        <v>0.12441050159999997</v>
      </c>
      <c r="J4" s="72">
        <f t="shared" si="1"/>
        <v>0.16367241032799998</v>
      </c>
      <c r="K4" s="73">
        <f t="shared" si="2"/>
        <v>0.65468964131199991</v>
      </c>
      <c r="L4" s="73">
        <f t="shared" si="3"/>
        <v>4</v>
      </c>
      <c r="M4" s="64"/>
      <c r="N4" s="64"/>
    </row>
    <row r="5" spans="1:16" x14ac:dyDescent="0.25">
      <c r="A5" s="71">
        <v>1</v>
      </c>
      <c r="B5" s="71">
        <v>4</v>
      </c>
      <c r="C5" s="70" t="s">
        <v>69</v>
      </c>
      <c r="D5" s="90" t="s">
        <v>75</v>
      </c>
      <c r="E5" s="71" t="s">
        <v>53</v>
      </c>
      <c r="F5" s="70">
        <v>27</v>
      </c>
      <c r="G5" s="70">
        <v>17</v>
      </c>
      <c r="H5" s="72">
        <f t="shared" si="4"/>
        <v>5.7255660000000007E-2</v>
      </c>
      <c r="I5" s="73">
        <f t="shared" si="0"/>
        <v>0.22902264000000003</v>
      </c>
      <c r="J5" s="72">
        <f>(0.108337266+0.000046499*(F5^2*G5))</f>
        <v>0.68459937300000007</v>
      </c>
      <c r="K5" s="73">
        <f t="shared" si="2"/>
        <v>2.7383974920000003</v>
      </c>
      <c r="L5" s="73">
        <f t="shared" si="3"/>
        <v>4</v>
      </c>
      <c r="M5" s="63"/>
      <c r="N5" s="63"/>
    </row>
    <row r="6" spans="1:16" x14ac:dyDescent="0.25">
      <c r="A6" s="71">
        <v>1</v>
      </c>
      <c r="B6" s="71">
        <v>5</v>
      </c>
      <c r="C6" s="70" t="s">
        <v>58</v>
      </c>
      <c r="D6" s="71" t="s">
        <v>59</v>
      </c>
      <c r="E6" s="71" t="s">
        <v>53</v>
      </c>
      <c r="F6" s="70">
        <v>26</v>
      </c>
      <c r="G6" s="70">
        <v>17</v>
      </c>
      <c r="H6" s="72">
        <f t="shared" si="4"/>
        <v>5.3093040000000008E-2</v>
      </c>
      <c r="I6" s="73">
        <f t="shared" si="0"/>
        <v>0.21237216000000003</v>
      </c>
      <c r="J6" s="72">
        <f t="shared" ref="J6:J26" si="5">(0.0050811768+0.0000286052*(F6^2*G6))</f>
        <v>0.33381213519999997</v>
      </c>
      <c r="K6" s="73">
        <f t="shared" si="2"/>
        <v>1.3352485407999999</v>
      </c>
      <c r="L6" s="73">
        <f t="shared" si="3"/>
        <v>4</v>
      </c>
      <c r="M6" s="63"/>
      <c r="N6" s="63"/>
    </row>
    <row r="7" spans="1:16" x14ac:dyDescent="0.25">
      <c r="A7" s="71">
        <v>1</v>
      </c>
      <c r="B7" s="71">
        <v>6</v>
      </c>
      <c r="C7" s="70" t="s">
        <v>58</v>
      </c>
      <c r="D7" s="71" t="s">
        <v>59</v>
      </c>
      <c r="E7" s="71" t="s">
        <v>52</v>
      </c>
      <c r="F7" s="70">
        <v>16</v>
      </c>
      <c r="G7" s="70">
        <v>15</v>
      </c>
      <c r="H7" s="72">
        <f t="shared" si="4"/>
        <v>2.0106240000000001E-2</v>
      </c>
      <c r="I7" s="73">
        <f t="shared" si="0"/>
        <v>8.0424960000000004E-2</v>
      </c>
      <c r="J7" s="72">
        <f t="shared" si="5"/>
        <v>0.1149251448</v>
      </c>
      <c r="K7" s="73">
        <f t="shared" si="2"/>
        <v>0.45970057920000001</v>
      </c>
      <c r="L7" s="73">
        <f t="shared" si="3"/>
        <v>4</v>
      </c>
      <c r="M7" s="63"/>
      <c r="N7" s="63"/>
    </row>
    <row r="8" spans="1:16" s="1" customFormat="1" x14ac:dyDescent="0.25">
      <c r="A8" s="71">
        <v>1</v>
      </c>
      <c r="B8" s="71">
        <v>7</v>
      </c>
      <c r="C8" s="70" t="s">
        <v>58</v>
      </c>
      <c r="D8" s="71" t="s">
        <v>59</v>
      </c>
      <c r="E8" s="71" t="s">
        <v>52</v>
      </c>
      <c r="F8" s="70">
        <v>17</v>
      </c>
      <c r="G8" s="70">
        <v>13</v>
      </c>
      <c r="H8" s="72">
        <f t="shared" si="4"/>
        <v>2.2698060000000003E-2</v>
      </c>
      <c r="I8" s="73">
        <f t="shared" si="0"/>
        <v>9.079224000000001E-2</v>
      </c>
      <c r="J8" s="72">
        <f t="shared" si="5"/>
        <v>0.11255091319999999</v>
      </c>
      <c r="K8" s="73">
        <f t="shared" si="2"/>
        <v>0.45020365279999996</v>
      </c>
      <c r="L8" s="73">
        <f t="shared" si="3"/>
        <v>4</v>
      </c>
      <c r="M8" s="63"/>
      <c r="N8" s="63"/>
    </row>
    <row r="9" spans="1:16" s="1" customFormat="1" x14ac:dyDescent="0.25">
      <c r="A9" s="71">
        <v>1</v>
      </c>
      <c r="B9" s="71">
        <v>8</v>
      </c>
      <c r="C9" s="70" t="s">
        <v>58</v>
      </c>
      <c r="D9" s="71" t="s">
        <v>59</v>
      </c>
      <c r="E9" s="71" t="s">
        <v>52</v>
      </c>
      <c r="F9" s="70">
        <v>15</v>
      </c>
      <c r="G9" s="70">
        <v>16</v>
      </c>
      <c r="H9" s="72">
        <f t="shared" si="4"/>
        <v>1.76715E-2</v>
      </c>
      <c r="I9" s="73">
        <f t="shared" si="0"/>
        <v>7.0685999999999999E-2</v>
      </c>
      <c r="J9" s="72">
        <f t="shared" si="5"/>
        <v>0.1080598968</v>
      </c>
      <c r="K9" s="73">
        <f t="shared" si="2"/>
        <v>0.4322395872</v>
      </c>
      <c r="L9" s="73">
        <f t="shared" si="3"/>
        <v>4</v>
      </c>
      <c r="M9" s="63"/>
      <c r="N9" s="63"/>
    </row>
    <row r="10" spans="1:16" s="1" customFormat="1" x14ac:dyDescent="0.25">
      <c r="A10" s="71">
        <v>1</v>
      </c>
      <c r="B10" s="71">
        <v>9</v>
      </c>
      <c r="C10" s="70" t="s">
        <v>58</v>
      </c>
      <c r="D10" s="71" t="s">
        <v>59</v>
      </c>
      <c r="E10" s="71" t="s">
        <v>52</v>
      </c>
      <c r="F10" s="70">
        <v>17</v>
      </c>
      <c r="G10" s="70">
        <v>15</v>
      </c>
      <c r="H10" s="72">
        <f t="shared" si="4"/>
        <v>2.2698060000000003E-2</v>
      </c>
      <c r="I10" s="73">
        <f t="shared" si="0"/>
        <v>9.079224000000001E-2</v>
      </c>
      <c r="J10" s="72">
        <f t="shared" si="5"/>
        <v>0.1290847188</v>
      </c>
      <c r="K10" s="73">
        <f t="shared" si="2"/>
        <v>0.51633887519999999</v>
      </c>
      <c r="L10" s="73">
        <f t="shared" si="3"/>
        <v>4</v>
      </c>
      <c r="M10" s="63"/>
      <c r="N10" s="63"/>
    </row>
    <row r="11" spans="1:16" s="1" customFormat="1" x14ac:dyDescent="0.25">
      <c r="A11" s="71">
        <v>1</v>
      </c>
      <c r="B11" s="71">
        <v>10</v>
      </c>
      <c r="C11" s="70" t="s">
        <v>58</v>
      </c>
      <c r="D11" s="71" t="s">
        <v>59</v>
      </c>
      <c r="E11" s="71" t="s">
        <v>71</v>
      </c>
      <c r="F11" s="70">
        <v>18</v>
      </c>
      <c r="G11" s="70">
        <v>15</v>
      </c>
      <c r="H11" s="72">
        <f t="shared" si="4"/>
        <v>2.5446959999999998E-2</v>
      </c>
      <c r="I11" s="73">
        <f t="shared" si="0"/>
        <v>0.10178783999999999</v>
      </c>
      <c r="J11" s="72">
        <f t="shared" si="5"/>
        <v>0.1441024488</v>
      </c>
      <c r="K11" s="73">
        <f t="shared" si="2"/>
        <v>0.57640979520000002</v>
      </c>
      <c r="L11" s="73">
        <f t="shared" si="3"/>
        <v>4</v>
      </c>
      <c r="M11" s="63"/>
      <c r="N11" s="63"/>
    </row>
    <row r="12" spans="1:16" s="1" customFormat="1" x14ac:dyDescent="0.25">
      <c r="A12" s="71">
        <v>1</v>
      </c>
      <c r="B12" s="71">
        <v>11</v>
      </c>
      <c r="C12" s="70" t="s">
        <v>58</v>
      </c>
      <c r="D12" s="71" t="s">
        <v>59</v>
      </c>
      <c r="E12" s="71" t="s">
        <v>72</v>
      </c>
      <c r="F12" s="70">
        <v>15</v>
      </c>
      <c r="G12" s="70">
        <v>16</v>
      </c>
      <c r="H12" s="72">
        <f t="shared" si="4"/>
        <v>1.76715E-2</v>
      </c>
      <c r="I12" s="73">
        <f t="shared" si="0"/>
        <v>7.0685999999999999E-2</v>
      </c>
      <c r="J12" s="72">
        <f t="shared" si="5"/>
        <v>0.1080598968</v>
      </c>
      <c r="K12" s="73">
        <f t="shared" si="2"/>
        <v>0.4322395872</v>
      </c>
      <c r="L12" s="73">
        <f t="shared" si="3"/>
        <v>4</v>
      </c>
      <c r="M12" s="63"/>
      <c r="N12" s="63"/>
    </row>
    <row r="13" spans="1:16" s="1" customFormat="1" x14ac:dyDescent="0.25">
      <c r="A13" s="71">
        <v>1</v>
      </c>
      <c r="B13" s="71">
        <v>12</v>
      </c>
      <c r="C13" s="70" t="s">
        <v>58</v>
      </c>
      <c r="D13" s="71" t="s">
        <v>59</v>
      </c>
      <c r="E13" s="71" t="s">
        <v>73</v>
      </c>
      <c r="F13" s="70">
        <v>16</v>
      </c>
      <c r="G13" s="70">
        <v>14</v>
      </c>
      <c r="H13" s="72">
        <f t="shared" si="4"/>
        <v>2.0106240000000001E-2</v>
      </c>
      <c r="I13" s="73">
        <f t="shared" si="0"/>
        <v>8.0424960000000004E-2</v>
      </c>
      <c r="J13" s="72">
        <f t="shared" si="5"/>
        <v>0.1076022136</v>
      </c>
      <c r="K13" s="73">
        <f t="shared" si="2"/>
        <v>0.43040885439999998</v>
      </c>
      <c r="L13" s="73">
        <f t="shared" si="3"/>
        <v>4</v>
      </c>
      <c r="M13" s="63"/>
      <c r="N13" s="63"/>
    </row>
    <row r="14" spans="1:16" s="1" customFormat="1" x14ac:dyDescent="0.25">
      <c r="A14" s="71">
        <v>1</v>
      </c>
      <c r="B14" s="71">
        <v>13</v>
      </c>
      <c r="C14" s="70" t="s">
        <v>58</v>
      </c>
      <c r="D14" s="71" t="s">
        <v>59</v>
      </c>
      <c r="E14" s="71" t="s">
        <v>74</v>
      </c>
      <c r="F14" s="70">
        <v>14</v>
      </c>
      <c r="G14" s="70">
        <v>13</v>
      </c>
      <c r="H14" s="72">
        <f t="shared" si="4"/>
        <v>1.5393840000000002E-2</v>
      </c>
      <c r="I14" s="73">
        <f t="shared" si="0"/>
        <v>6.157536000000001E-2</v>
      </c>
      <c r="J14" s="72">
        <f t="shared" si="5"/>
        <v>7.7967226400000006E-2</v>
      </c>
      <c r="K14" s="73">
        <f t="shared" si="2"/>
        <v>0.31186890560000002</v>
      </c>
      <c r="L14" s="73">
        <f t="shared" si="3"/>
        <v>4</v>
      </c>
      <c r="M14" s="63"/>
      <c r="N14" s="63"/>
    </row>
    <row r="15" spans="1:16" x14ac:dyDescent="0.25">
      <c r="A15" s="71">
        <v>1</v>
      </c>
      <c r="B15" s="71">
        <v>14</v>
      </c>
      <c r="C15" s="70" t="s">
        <v>58</v>
      </c>
      <c r="D15" s="71" t="s">
        <v>59</v>
      </c>
      <c r="E15" s="71" t="s">
        <v>52</v>
      </c>
      <c r="F15" s="70">
        <v>17</v>
      </c>
      <c r="G15" s="70">
        <v>15</v>
      </c>
      <c r="H15" s="72">
        <f t="shared" si="4"/>
        <v>2.2698060000000003E-2</v>
      </c>
      <c r="I15" s="73">
        <f t="shared" si="0"/>
        <v>9.079224000000001E-2</v>
      </c>
      <c r="J15" s="72">
        <f t="shared" si="5"/>
        <v>0.1290847188</v>
      </c>
      <c r="K15" s="73">
        <f t="shared" si="2"/>
        <v>0.51633887519999999</v>
      </c>
      <c r="L15" s="73">
        <f t="shared" si="3"/>
        <v>4</v>
      </c>
      <c r="M15" s="63"/>
      <c r="N15" s="1" t="s">
        <v>63</v>
      </c>
      <c r="O15" s="1"/>
      <c r="P15" s="1" t="s">
        <v>66</v>
      </c>
    </row>
    <row r="16" spans="1:16" x14ac:dyDescent="0.25">
      <c r="A16" s="71">
        <v>1</v>
      </c>
      <c r="B16" s="71">
        <v>15</v>
      </c>
      <c r="C16" s="70" t="s">
        <v>58</v>
      </c>
      <c r="D16" s="71" t="s">
        <v>59</v>
      </c>
      <c r="E16" s="71" t="s">
        <v>52</v>
      </c>
      <c r="F16" s="70">
        <v>19.899999999999999</v>
      </c>
      <c r="G16" s="70">
        <v>16</v>
      </c>
      <c r="H16" s="72">
        <f t="shared" si="4"/>
        <v>3.1102625399999993E-2</v>
      </c>
      <c r="I16" s="73">
        <f t="shared" si="0"/>
        <v>0.12441050159999997</v>
      </c>
      <c r="J16" s="72">
        <f t="shared" si="5"/>
        <v>0.18632830083199997</v>
      </c>
      <c r="K16" s="73">
        <f t="shared" si="2"/>
        <v>0.74531320332799988</v>
      </c>
      <c r="L16" s="73">
        <f t="shared" si="3"/>
        <v>4</v>
      </c>
      <c r="M16" s="63"/>
      <c r="N16" s="1" t="s">
        <v>64</v>
      </c>
      <c r="P16" s="1" t="s">
        <v>65</v>
      </c>
    </row>
    <row r="17" spans="1:16" x14ac:dyDescent="0.25">
      <c r="A17" s="71">
        <v>1</v>
      </c>
      <c r="B17" s="71">
        <v>16</v>
      </c>
      <c r="C17" s="70" t="s">
        <v>58</v>
      </c>
      <c r="D17" s="71" t="s">
        <v>59</v>
      </c>
      <c r="E17" s="71" t="s">
        <v>53</v>
      </c>
      <c r="F17" s="70">
        <v>28</v>
      </c>
      <c r="G17" s="70">
        <v>17</v>
      </c>
      <c r="H17" s="72">
        <f t="shared" si="4"/>
        <v>6.157536000000001E-2</v>
      </c>
      <c r="I17" s="73">
        <f t="shared" si="0"/>
        <v>0.24630144000000004</v>
      </c>
      <c r="J17" s="72">
        <f t="shared" si="5"/>
        <v>0.38633128239999998</v>
      </c>
      <c r="K17" s="73">
        <f t="shared" si="2"/>
        <v>1.5453251295999999</v>
      </c>
      <c r="L17" s="73">
        <f t="shared" si="3"/>
        <v>4</v>
      </c>
      <c r="M17" s="64"/>
      <c r="N17" s="1" t="s">
        <v>67</v>
      </c>
      <c r="P17" s="1" t="s">
        <v>68</v>
      </c>
    </row>
    <row r="18" spans="1:16" x14ac:dyDescent="0.25">
      <c r="A18" s="71">
        <v>1</v>
      </c>
      <c r="B18" s="71">
        <v>17</v>
      </c>
      <c r="C18" s="70" t="s">
        <v>58</v>
      </c>
      <c r="D18" s="71" t="s">
        <v>59</v>
      </c>
      <c r="E18" s="71" t="s">
        <v>61</v>
      </c>
      <c r="F18" s="70">
        <v>37</v>
      </c>
      <c r="G18" s="70">
        <v>16</v>
      </c>
      <c r="H18" s="72">
        <f t="shared" si="4"/>
        <v>0.10752125999999999</v>
      </c>
      <c r="I18" s="73">
        <f t="shared" si="0"/>
        <v>0.43008503999999997</v>
      </c>
      <c r="J18" s="72">
        <f t="shared" si="5"/>
        <v>0.6316494775999999</v>
      </c>
      <c r="K18" s="73">
        <f t="shared" si="2"/>
        <v>2.5265979103999996</v>
      </c>
      <c r="L18" s="73">
        <f t="shared" si="3"/>
        <v>4</v>
      </c>
      <c r="M18" s="64"/>
      <c r="N18" s="64"/>
    </row>
    <row r="19" spans="1:16" x14ac:dyDescent="0.25">
      <c r="A19" s="71">
        <v>2</v>
      </c>
      <c r="B19" s="71">
        <v>1</v>
      </c>
      <c r="C19" s="70" t="s">
        <v>58</v>
      </c>
      <c r="D19" s="71" t="s">
        <v>59</v>
      </c>
      <c r="E19" s="71" t="s">
        <v>61</v>
      </c>
      <c r="F19" s="70">
        <v>30</v>
      </c>
      <c r="G19" s="70">
        <v>19</v>
      </c>
      <c r="H19" s="72">
        <f t="shared" si="4"/>
        <v>7.0685999999999999E-2</v>
      </c>
      <c r="I19" s="73">
        <f t="shared" si="0"/>
        <v>0.282744</v>
      </c>
      <c r="J19" s="72">
        <f t="shared" si="5"/>
        <v>0.49423009679999996</v>
      </c>
      <c r="K19" s="73">
        <f t="shared" si="2"/>
        <v>1.9769203871999999</v>
      </c>
      <c r="L19" s="73">
        <f t="shared" si="3"/>
        <v>4</v>
      </c>
      <c r="M19" s="63"/>
      <c r="N19" s="67"/>
      <c r="O19" s="62"/>
    </row>
    <row r="20" spans="1:16" x14ac:dyDescent="0.25">
      <c r="A20" s="71">
        <v>2</v>
      </c>
      <c r="B20" s="71">
        <v>2</v>
      </c>
      <c r="C20" s="70" t="s">
        <v>58</v>
      </c>
      <c r="D20" s="71" t="s">
        <v>59</v>
      </c>
      <c r="E20" s="71" t="s">
        <v>62</v>
      </c>
      <c r="F20" s="70">
        <v>40</v>
      </c>
      <c r="G20" s="70">
        <v>20</v>
      </c>
      <c r="H20" s="72">
        <f t="shared" si="4"/>
        <v>0.12566400000000003</v>
      </c>
      <c r="I20" s="73">
        <f t="shared" si="0"/>
        <v>0.5026560000000001</v>
      </c>
      <c r="J20" s="72">
        <f t="shared" si="5"/>
        <v>0.92044757679999989</v>
      </c>
      <c r="K20" s="73">
        <f t="shared" si="2"/>
        <v>3.6817903071999996</v>
      </c>
      <c r="L20" s="73">
        <f t="shared" si="3"/>
        <v>4</v>
      </c>
      <c r="M20" s="63"/>
      <c r="N20" s="68"/>
      <c r="O20" s="62"/>
    </row>
    <row r="21" spans="1:16" x14ac:dyDescent="0.25">
      <c r="A21" s="71">
        <v>2</v>
      </c>
      <c r="B21" s="71">
        <v>3</v>
      </c>
      <c r="C21" s="70" t="s">
        <v>58</v>
      </c>
      <c r="D21" s="71" t="s">
        <v>59</v>
      </c>
      <c r="E21" s="71" t="s">
        <v>52</v>
      </c>
      <c r="F21" s="70">
        <v>13</v>
      </c>
      <c r="G21" s="70">
        <v>12</v>
      </c>
      <c r="H21" s="72">
        <f t="shared" si="4"/>
        <v>1.3273260000000002E-2</v>
      </c>
      <c r="I21" s="73">
        <f t="shared" si="0"/>
        <v>5.3093040000000008E-2</v>
      </c>
      <c r="J21" s="72">
        <f t="shared" si="5"/>
        <v>6.3092522400000003E-2</v>
      </c>
      <c r="K21" s="73">
        <f t="shared" si="2"/>
        <v>0.25237008960000001</v>
      </c>
      <c r="L21" s="73">
        <f t="shared" si="3"/>
        <v>4</v>
      </c>
      <c r="M21" s="63"/>
      <c r="N21" s="68"/>
      <c r="O21" s="62"/>
    </row>
    <row r="22" spans="1:16" x14ac:dyDescent="0.25">
      <c r="A22" s="71">
        <v>2</v>
      </c>
      <c r="B22" s="71">
        <v>4</v>
      </c>
      <c r="C22" s="70" t="s">
        <v>58</v>
      </c>
      <c r="D22" s="71" t="s">
        <v>59</v>
      </c>
      <c r="E22" s="71" t="s">
        <v>52</v>
      </c>
      <c r="F22" s="70">
        <v>13</v>
      </c>
      <c r="G22" s="70">
        <v>12</v>
      </c>
      <c r="H22" s="72">
        <f t="shared" si="4"/>
        <v>1.3273260000000002E-2</v>
      </c>
      <c r="I22" s="73">
        <f t="shared" si="0"/>
        <v>5.3093040000000008E-2</v>
      </c>
      <c r="J22" s="72">
        <f t="shared" si="5"/>
        <v>6.3092522400000003E-2</v>
      </c>
      <c r="K22" s="73">
        <f t="shared" si="2"/>
        <v>0.25237008960000001</v>
      </c>
      <c r="L22" s="73">
        <f t="shared" si="3"/>
        <v>4</v>
      </c>
      <c r="M22" s="63"/>
      <c r="N22" s="68"/>
      <c r="O22" s="62"/>
    </row>
    <row r="23" spans="1:16" x14ac:dyDescent="0.25">
      <c r="A23" s="71">
        <v>2</v>
      </c>
      <c r="B23" s="71">
        <v>5</v>
      </c>
      <c r="C23" s="70" t="s">
        <v>58</v>
      </c>
      <c r="D23" s="71" t="s">
        <v>59</v>
      </c>
      <c r="E23" s="71" t="s">
        <v>52</v>
      </c>
      <c r="F23" s="70">
        <v>14</v>
      </c>
      <c r="G23" s="70">
        <v>12</v>
      </c>
      <c r="H23" s="72">
        <f t="shared" si="4"/>
        <v>1.5393840000000002E-2</v>
      </c>
      <c r="I23" s="73">
        <f t="shared" si="0"/>
        <v>6.157536000000001E-2</v>
      </c>
      <c r="J23" s="72">
        <f t="shared" si="5"/>
        <v>7.2360607199999996E-2</v>
      </c>
      <c r="K23" s="73">
        <f t="shared" si="2"/>
        <v>0.28944242879999998</v>
      </c>
      <c r="L23" s="73">
        <f t="shared" si="3"/>
        <v>4</v>
      </c>
      <c r="M23" s="63"/>
      <c r="N23" s="68"/>
      <c r="O23" s="62"/>
    </row>
    <row r="24" spans="1:16" x14ac:dyDescent="0.25">
      <c r="A24" s="71">
        <v>2</v>
      </c>
      <c r="B24" s="71">
        <v>6</v>
      </c>
      <c r="C24" s="70" t="s">
        <v>58</v>
      </c>
      <c r="D24" s="71" t="s">
        <v>59</v>
      </c>
      <c r="E24" s="71" t="s">
        <v>52</v>
      </c>
      <c r="F24" s="70">
        <v>14</v>
      </c>
      <c r="G24" s="70">
        <v>12</v>
      </c>
      <c r="H24" s="72">
        <f t="shared" si="4"/>
        <v>1.5393840000000002E-2</v>
      </c>
      <c r="I24" s="73">
        <f t="shared" si="0"/>
        <v>6.157536000000001E-2</v>
      </c>
      <c r="J24" s="72">
        <f t="shared" si="5"/>
        <v>7.2360607199999996E-2</v>
      </c>
      <c r="K24" s="73">
        <f t="shared" si="2"/>
        <v>0.28944242879999998</v>
      </c>
      <c r="L24" s="73">
        <f t="shared" si="3"/>
        <v>4</v>
      </c>
      <c r="M24" s="63"/>
      <c r="N24" s="63"/>
      <c r="O24" s="59"/>
    </row>
    <row r="25" spans="1:16" x14ac:dyDescent="0.25">
      <c r="A25" s="71">
        <v>2</v>
      </c>
      <c r="B25" s="71">
        <v>7</v>
      </c>
      <c r="C25" s="70" t="s">
        <v>58</v>
      </c>
      <c r="D25" s="71" t="s">
        <v>59</v>
      </c>
      <c r="E25" s="71" t="s">
        <v>61</v>
      </c>
      <c r="F25" s="70">
        <v>35</v>
      </c>
      <c r="G25" s="70">
        <v>17</v>
      </c>
      <c r="H25" s="72">
        <f t="shared" si="4"/>
        <v>9.6211499999999991E-2</v>
      </c>
      <c r="I25" s="73">
        <f t="shared" si="0"/>
        <v>0.38484599999999997</v>
      </c>
      <c r="J25" s="72">
        <f t="shared" si="5"/>
        <v>0.60078446679999997</v>
      </c>
      <c r="K25" s="73">
        <f t="shared" si="2"/>
        <v>2.4031378671999999</v>
      </c>
      <c r="L25" s="73">
        <f t="shared" si="3"/>
        <v>4</v>
      </c>
      <c r="M25" s="63"/>
      <c r="N25" s="63"/>
      <c r="O25" s="59"/>
    </row>
    <row r="26" spans="1:16" x14ac:dyDescent="0.25">
      <c r="A26" s="71">
        <v>2</v>
      </c>
      <c r="B26" s="71">
        <v>8</v>
      </c>
      <c r="C26" s="70" t="s">
        <v>58</v>
      </c>
      <c r="D26" s="71" t="s">
        <v>59</v>
      </c>
      <c r="E26" s="71" t="s">
        <v>52</v>
      </c>
      <c r="F26" s="70">
        <v>15</v>
      </c>
      <c r="G26" s="70">
        <v>13</v>
      </c>
      <c r="H26" s="72">
        <f t="shared" si="4"/>
        <v>1.76715E-2</v>
      </c>
      <c r="I26" s="73">
        <f t="shared" si="0"/>
        <v>7.0685999999999999E-2</v>
      </c>
      <c r="J26" s="72">
        <f t="shared" si="5"/>
        <v>8.8751386799999998E-2</v>
      </c>
      <c r="K26" s="73">
        <f t="shared" si="2"/>
        <v>0.35500554719999999</v>
      </c>
      <c r="L26" s="73">
        <f t="shared" si="3"/>
        <v>4</v>
      </c>
      <c r="M26" s="63"/>
      <c r="N26" s="63"/>
      <c r="O26" s="59"/>
    </row>
    <row r="27" spans="1:16" x14ac:dyDescent="0.25">
      <c r="A27" s="71">
        <v>2</v>
      </c>
      <c r="B27" s="71">
        <v>9</v>
      </c>
      <c r="C27" s="70" t="s">
        <v>69</v>
      </c>
      <c r="D27" s="90" t="s">
        <v>75</v>
      </c>
      <c r="E27" s="71" t="s">
        <v>52</v>
      </c>
      <c r="F27" s="70">
        <v>14</v>
      </c>
      <c r="G27" s="70">
        <v>12</v>
      </c>
      <c r="H27" s="72">
        <f t="shared" si="4"/>
        <v>1.5393840000000002E-2</v>
      </c>
      <c r="I27" s="73">
        <f t="shared" si="0"/>
        <v>6.157536000000001E-2</v>
      </c>
      <c r="J27" s="72">
        <f>(0.108337266+0.000046499*(F27^2*G27))</f>
        <v>0.21770291400000003</v>
      </c>
      <c r="K27" s="73">
        <f t="shared" si="2"/>
        <v>0.8708116560000001</v>
      </c>
      <c r="L27" s="73">
        <f t="shared" si="3"/>
        <v>4</v>
      </c>
      <c r="M27" s="64"/>
      <c r="N27" s="64"/>
    </row>
    <row r="28" spans="1:16" x14ac:dyDescent="0.25">
      <c r="A28" s="71">
        <v>2</v>
      </c>
      <c r="B28" s="71">
        <v>10</v>
      </c>
      <c r="C28" s="70" t="s">
        <v>58</v>
      </c>
      <c r="D28" s="71" t="s">
        <v>59</v>
      </c>
      <c r="E28" s="71" t="s">
        <v>53</v>
      </c>
      <c r="F28" s="70">
        <v>20</v>
      </c>
      <c r="G28" s="70">
        <v>12</v>
      </c>
      <c r="H28" s="72">
        <f t="shared" ref="H28" si="6">0.7854*(F28/100)^2</f>
        <v>3.1416000000000006E-2</v>
      </c>
      <c r="I28" s="73">
        <f t="shared" ref="I28:I30" si="7">H28*1/$O$3</f>
        <v>0.12566400000000003</v>
      </c>
      <c r="J28" s="72">
        <f t="shared" ref="J28" si="8">(0.0050811768+0.0000286052*(F28^2*G28))</f>
        <v>0.14238613680000001</v>
      </c>
      <c r="K28" s="73">
        <f t="shared" ref="K28:K30" si="9">J28/$O$3</f>
        <v>0.56954454720000003</v>
      </c>
      <c r="L28" s="73">
        <f t="shared" si="3"/>
        <v>4</v>
      </c>
      <c r="M28" s="64"/>
      <c r="N28" s="64"/>
    </row>
    <row r="29" spans="1:16" x14ac:dyDescent="0.25">
      <c r="A29" s="71">
        <v>2</v>
      </c>
      <c r="B29" s="71">
        <v>11</v>
      </c>
      <c r="C29" s="70" t="s">
        <v>69</v>
      </c>
      <c r="D29" s="90" t="s">
        <v>75</v>
      </c>
      <c r="E29" s="71" t="s">
        <v>61</v>
      </c>
      <c r="F29" s="70">
        <v>33</v>
      </c>
      <c r="G29" s="70">
        <v>15</v>
      </c>
      <c r="H29" s="72">
        <f t="shared" si="4"/>
        <v>8.5530060000000005E-2</v>
      </c>
      <c r="I29" s="73">
        <f t="shared" si="7"/>
        <v>0.34212024000000002</v>
      </c>
      <c r="J29" s="72">
        <f t="shared" ref="J29:J30" si="10">(0.108337266+0.000046499*(F29^2*G29))</f>
        <v>0.86789843100000008</v>
      </c>
      <c r="K29" s="73">
        <f t="shared" si="9"/>
        <v>3.4715937240000003</v>
      </c>
      <c r="L29" s="73">
        <f t="shared" si="3"/>
        <v>4</v>
      </c>
      <c r="M29" s="64"/>
      <c r="N29" s="64"/>
    </row>
    <row r="30" spans="1:16" x14ac:dyDescent="0.25">
      <c r="A30" s="71">
        <v>2</v>
      </c>
      <c r="B30" s="71">
        <v>12</v>
      </c>
      <c r="C30" s="70" t="s">
        <v>69</v>
      </c>
      <c r="D30" s="90" t="s">
        <v>75</v>
      </c>
      <c r="E30" s="74" t="s">
        <v>62</v>
      </c>
      <c r="F30" s="75">
        <v>41</v>
      </c>
      <c r="G30" s="75">
        <v>15</v>
      </c>
      <c r="H30" s="72">
        <f t="shared" si="4"/>
        <v>0.13202573999999997</v>
      </c>
      <c r="I30" s="73">
        <f t="shared" si="7"/>
        <v>0.5281029599999999</v>
      </c>
      <c r="J30" s="72">
        <f t="shared" si="10"/>
        <v>1.2808095509999999</v>
      </c>
      <c r="K30" s="73">
        <f t="shared" si="9"/>
        <v>5.1232382039999997</v>
      </c>
      <c r="L30" s="73">
        <f t="shared" si="3"/>
        <v>4</v>
      </c>
    </row>
    <row r="31" spans="1:16" x14ac:dyDescent="0.25">
      <c r="A31" s="71">
        <v>2</v>
      </c>
      <c r="B31" s="71">
        <v>13</v>
      </c>
      <c r="C31" s="70" t="s">
        <v>58</v>
      </c>
      <c r="D31" s="71" t="s">
        <v>59</v>
      </c>
      <c r="E31" s="74" t="s">
        <v>53</v>
      </c>
      <c r="F31" s="75">
        <v>21</v>
      </c>
      <c r="G31" s="69">
        <v>10</v>
      </c>
      <c r="H31" s="72">
        <f t="shared" ref="H31:H67" si="11">0.7854*(F31/100)^2</f>
        <v>3.4636139999999996E-2</v>
      </c>
      <c r="I31" s="73">
        <f t="shared" ref="I31:I67" si="12">H31*1/$O$3</f>
        <v>0.13854455999999998</v>
      </c>
      <c r="J31" s="72">
        <f t="shared" ref="J31:J63" si="13">(0.0050811768+0.0000286052*(F31^2*G31))</f>
        <v>0.13123010879999999</v>
      </c>
      <c r="K31" s="73">
        <f t="shared" ref="K31:K67" si="14">J31/$O$3</f>
        <v>0.52492043519999998</v>
      </c>
      <c r="L31" s="73">
        <f t="shared" ref="L31:L67" si="15">1*1/$O$3</f>
        <v>4</v>
      </c>
    </row>
    <row r="32" spans="1:16" x14ac:dyDescent="0.25">
      <c r="A32" s="71">
        <v>2</v>
      </c>
      <c r="B32" s="71">
        <v>14</v>
      </c>
      <c r="C32" s="70" t="s">
        <v>58</v>
      </c>
      <c r="D32" s="71" t="s">
        <v>59</v>
      </c>
      <c r="E32" s="74" t="s">
        <v>52</v>
      </c>
      <c r="F32" s="75">
        <v>16</v>
      </c>
      <c r="G32" s="75">
        <v>10</v>
      </c>
      <c r="H32" s="72">
        <f t="shared" si="11"/>
        <v>2.0106240000000001E-2</v>
      </c>
      <c r="I32" s="73">
        <f t="shared" si="12"/>
        <v>8.0424960000000004E-2</v>
      </c>
      <c r="J32" s="72">
        <f t="shared" si="13"/>
        <v>7.8310488799999994E-2</v>
      </c>
      <c r="K32" s="73">
        <f t="shared" si="14"/>
        <v>0.31324195519999998</v>
      </c>
      <c r="L32" s="73">
        <f t="shared" si="15"/>
        <v>4</v>
      </c>
    </row>
    <row r="33" spans="1:12" x14ac:dyDescent="0.25">
      <c r="A33" s="74">
        <v>3</v>
      </c>
      <c r="B33" s="74">
        <v>1</v>
      </c>
      <c r="C33" s="70" t="s">
        <v>58</v>
      </c>
      <c r="D33" s="71" t="s">
        <v>59</v>
      </c>
      <c r="E33" s="74" t="s">
        <v>53</v>
      </c>
      <c r="F33" s="75">
        <v>20</v>
      </c>
      <c r="G33" s="75">
        <v>15</v>
      </c>
      <c r="H33" s="72">
        <f t="shared" si="11"/>
        <v>3.1416000000000006E-2</v>
      </c>
      <c r="I33" s="73">
        <f t="shared" si="12"/>
        <v>0.12566400000000003</v>
      </c>
      <c r="J33" s="72">
        <f t="shared" si="13"/>
        <v>0.17671237679999999</v>
      </c>
      <c r="K33" s="73">
        <f t="shared" si="14"/>
        <v>0.70684950719999995</v>
      </c>
      <c r="L33" s="73">
        <f t="shared" si="15"/>
        <v>4</v>
      </c>
    </row>
    <row r="34" spans="1:12" x14ac:dyDescent="0.25">
      <c r="A34" s="74">
        <v>3</v>
      </c>
      <c r="B34" s="74">
        <v>2</v>
      </c>
      <c r="C34" s="70" t="s">
        <v>58</v>
      </c>
      <c r="D34" s="71" t="s">
        <v>59</v>
      </c>
      <c r="E34" s="74" t="s">
        <v>61</v>
      </c>
      <c r="F34" s="75">
        <v>34.4</v>
      </c>
      <c r="G34" s="75">
        <v>18</v>
      </c>
      <c r="H34" s="72">
        <f t="shared" si="11"/>
        <v>9.2941094399999979E-2</v>
      </c>
      <c r="I34" s="73">
        <f t="shared" si="12"/>
        <v>0.37176437759999992</v>
      </c>
      <c r="J34" s="72">
        <f t="shared" si="13"/>
        <v>0.61438566729599997</v>
      </c>
      <c r="K34" s="73">
        <f t="shared" si="14"/>
        <v>2.4575426691839999</v>
      </c>
      <c r="L34" s="73">
        <f t="shared" si="15"/>
        <v>4</v>
      </c>
    </row>
    <row r="35" spans="1:12" x14ac:dyDescent="0.25">
      <c r="A35" s="74">
        <v>3</v>
      </c>
      <c r="B35" s="74">
        <v>3</v>
      </c>
      <c r="C35" s="70" t="s">
        <v>58</v>
      </c>
      <c r="D35" s="71" t="s">
        <v>59</v>
      </c>
      <c r="E35" s="74" t="s">
        <v>53</v>
      </c>
      <c r="F35" s="75">
        <v>24</v>
      </c>
      <c r="G35" s="75">
        <v>15</v>
      </c>
      <c r="H35" s="72">
        <f t="shared" si="11"/>
        <v>4.5239040000000001E-2</v>
      </c>
      <c r="I35" s="73">
        <f t="shared" si="12"/>
        <v>0.18095616</v>
      </c>
      <c r="J35" s="72">
        <f t="shared" si="13"/>
        <v>0.25223010479999997</v>
      </c>
      <c r="K35" s="73">
        <f t="shared" si="14"/>
        <v>1.0089204191999999</v>
      </c>
      <c r="L35" s="73">
        <f t="shared" si="15"/>
        <v>4</v>
      </c>
    </row>
    <row r="36" spans="1:12" x14ac:dyDescent="0.25">
      <c r="A36" s="74">
        <v>3</v>
      </c>
      <c r="B36" s="74">
        <v>4</v>
      </c>
      <c r="C36" s="70" t="s">
        <v>58</v>
      </c>
      <c r="D36" s="71" t="s">
        <v>59</v>
      </c>
      <c r="E36" s="74" t="s">
        <v>53</v>
      </c>
      <c r="F36" s="75">
        <v>26</v>
      </c>
      <c r="G36" s="75">
        <v>14</v>
      </c>
      <c r="H36" s="72">
        <f t="shared" si="11"/>
        <v>5.3093040000000008E-2</v>
      </c>
      <c r="I36" s="73">
        <f t="shared" si="12"/>
        <v>0.21237216000000003</v>
      </c>
      <c r="J36" s="72">
        <f t="shared" si="13"/>
        <v>0.27580078959999998</v>
      </c>
      <c r="K36" s="73">
        <f t="shared" si="14"/>
        <v>1.1032031583999999</v>
      </c>
      <c r="L36" s="73">
        <f t="shared" si="15"/>
        <v>4</v>
      </c>
    </row>
    <row r="37" spans="1:12" x14ac:dyDescent="0.25">
      <c r="A37" s="74">
        <v>3</v>
      </c>
      <c r="B37" s="74">
        <v>5</v>
      </c>
      <c r="C37" s="70" t="s">
        <v>58</v>
      </c>
      <c r="D37" s="71" t="s">
        <v>59</v>
      </c>
      <c r="E37" s="74" t="s">
        <v>61</v>
      </c>
      <c r="F37" s="75">
        <v>30.1</v>
      </c>
      <c r="G37" s="75">
        <v>14</v>
      </c>
      <c r="H37" s="72">
        <f t="shared" si="11"/>
        <v>7.1158025399999991E-2</v>
      </c>
      <c r="I37" s="73">
        <f t="shared" si="12"/>
        <v>0.28463210159999996</v>
      </c>
      <c r="J37" s="72">
        <f t="shared" si="13"/>
        <v>0.367913538328</v>
      </c>
      <c r="K37" s="73">
        <f t="shared" si="14"/>
        <v>1.471654153312</v>
      </c>
      <c r="L37" s="73">
        <f t="shared" si="15"/>
        <v>4</v>
      </c>
    </row>
    <row r="38" spans="1:12" x14ac:dyDescent="0.25">
      <c r="A38" s="74">
        <v>3</v>
      </c>
      <c r="B38" s="74">
        <v>6</v>
      </c>
      <c r="C38" s="70" t="s">
        <v>58</v>
      </c>
      <c r="D38" s="71" t="s">
        <v>59</v>
      </c>
      <c r="E38" s="74" t="s">
        <v>52</v>
      </c>
      <c r="F38" s="75">
        <v>17</v>
      </c>
      <c r="G38" s="75">
        <v>11</v>
      </c>
      <c r="H38" s="72">
        <f t="shared" si="11"/>
        <v>2.2698060000000003E-2</v>
      </c>
      <c r="I38" s="73">
        <f t="shared" si="12"/>
        <v>9.079224000000001E-2</v>
      </c>
      <c r="J38" s="72">
        <f t="shared" si="13"/>
        <v>9.6017107599999998E-2</v>
      </c>
      <c r="K38" s="73">
        <f t="shared" si="14"/>
        <v>0.38406843039999999</v>
      </c>
      <c r="L38" s="73">
        <f t="shared" si="15"/>
        <v>4</v>
      </c>
    </row>
    <row r="39" spans="1:12" x14ac:dyDescent="0.25">
      <c r="A39" s="74">
        <v>3</v>
      </c>
      <c r="B39" s="74">
        <v>7</v>
      </c>
      <c r="C39" s="70" t="s">
        <v>58</v>
      </c>
      <c r="D39" s="71" t="s">
        <v>59</v>
      </c>
      <c r="E39" s="74" t="s">
        <v>52</v>
      </c>
      <c r="F39" s="75">
        <v>14</v>
      </c>
      <c r="G39" s="75">
        <v>10</v>
      </c>
      <c r="H39" s="72">
        <f t="shared" si="11"/>
        <v>1.5393840000000002E-2</v>
      </c>
      <c r="I39" s="73">
        <f t="shared" si="12"/>
        <v>6.157536000000001E-2</v>
      </c>
      <c r="J39" s="72">
        <f t="shared" si="13"/>
        <v>6.114736879999999E-2</v>
      </c>
      <c r="K39" s="73">
        <f t="shared" si="14"/>
        <v>0.24458947519999996</v>
      </c>
      <c r="L39" s="73">
        <f t="shared" si="15"/>
        <v>4</v>
      </c>
    </row>
    <row r="40" spans="1:12" x14ac:dyDescent="0.25">
      <c r="A40" s="74">
        <v>3</v>
      </c>
      <c r="B40" s="74">
        <v>8</v>
      </c>
      <c r="C40" s="70" t="s">
        <v>58</v>
      </c>
      <c r="D40" s="71" t="s">
        <v>59</v>
      </c>
      <c r="E40" s="74" t="s">
        <v>53</v>
      </c>
      <c r="F40" s="75">
        <v>26</v>
      </c>
      <c r="G40" s="75">
        <v>13</v>
      </c>
      <c r="H40" s="72">
        <f t="shared" si="11"/>
        <v>5.3093040000000008E-2</v>
      </c>
      <c r="I40" s="73">
        <f t="shared" si="12"/>
        <v>0.21237216000000003</v>
      </c>
      <c r="J40" s="72">
        <f t="shared" si="13"/>
        <v>0.25646367439999995</v>
      </c>
      <c r="K40" s="73">
        <f t="shared" si="14"/>
        <v>1.0258546975999998</v>
      </c>
      <c r="L40" s="73">
        <f t="shared" si="15"/>
        <v>4</v>
      </c>
    </row>
    <row r="41" spans="1:12" x14ac:dyDescent="0.25">
      <c r="A41" s="74">
        <v>3</v>
      </c>
      <c r="B41" s="74">
        <v>9</v>
      </c>
      <c r="C41" s="70" t="s">
        <v>58</v>
      </c>
      <c r="D41" s="71" t="s">
        <v>59</v>
      </c>
      <c r="E41" s="74" t="s">
        <v>53</v>
      </c>
      <c r="F41" s="75">
        <v>25.4</v>
      </c>
      <c r="G41" s="75">
        <v>14</v>
      </c>
      <c r="H41" s="72">
        <f t="shared" si="11"/>
        <v>5.06708664E-2</v>
      </c>
      <c r="I41" s="73">
        <f t="shared" si="12"/>
        <v>0.2026834656</v>
      </c>
      <c r="J41" s="72">
        <f t="shared" si="13"/>
        <v>0.26345020844799993</v>
      </c>
      <c r="K41" s="73">
        <f t="shared" si="14"/>
        <v>1.0538008337919997</v>
      </c>
      <c r="L41" s="73">
        <f t="shared" si="15"/>
        <v>4</v>
      </c>
    </row>
    <row r="42" spans="1:12" x14ac:dyDescent="0.25">
      <c r="A42" s="74">
        <v>3</v>
      </c>
      <c r="B42" s="74">
        <v>10</v>
      </c>
      <c r="C42" s="70" t="s">
        <v>58</v>
      </c>
      <c r="D42" s="71" t="s">
        <v>59</v>
      </c>
      <c r="E42" s="74" t="s">
        <v>53</v>
      </c>
      <c r="F42" s="75">
        <v>26</v>
      </c>
      <c r="G42" s="75">
        <v>14</v>
      </c>
      <c r="H42" s="72">
        <f t="shared" si="11"/>
        <v>5.3093040000000008E-2</v>
      </c>
      <c r="I42" s="73">
        <f t="shared" si="12"/>
        <v>0.21237216000000003</v>
      </c>
      <c r="J42" s="72">
        <f t="shared" si="13"/>
        <v>0.27580078959999998</v>
      </c>
      <c r="K42" s="73">
        <f t="shared" si="14"/>
        <v>1.1032031583999999</v>
      </c>
      <c r="L42" s="73">
        <f t="shared" si="15"/>
        <v>4</v>
      </c>
    </row>
    <row r="43" spans="1:12" x14ac:dyDescent="0.25">
      <c r="A43" s="74">
        <v>3</v>
      </c>
      <c r="B43" s="74">
        <v>11</v>
      </c>
      <c r="C43" s="70" t="s">
        <v>58</v>
      </c>
      <c r="D43" s="71" t="s">
        <v>59</v>
      </c>
      <c r="E43" s="74" t="s">
        <v>53</v>
      </c>
      <c r="F43" s="75">
        <v>20</v>
      </c>
      <c r="G43" s="75">
        <v>15</v>
      </c>
      <c r="H43" s="72">
        <f t="shared" si="11"/>
        <v>3.1416000000000006E-2</v>
      </c>
      <c r="I43" s="73">
        <f t="shared" si="12"/>
        <v>0.12566400000000003</v>
      </c>
      <c r="J43" s="72">
        <f t="shared" si="13"/>
        <v>0.17671237679999999</v>
      </c>
      <c r="K43" s="73">
        <f t="shared" si="14"/>
        <v>0.70684950719999995</v>
      </c>
      <c r="L43" s="73">
        <f t="shared" si="15"/>
        <v>4</v>
      </c>
    </row>
    <row r="44" spans="1:12" x14ac:dyDescent="0.25">
      <c r="A44" s="74">
        <v>3</v>
      </c>
      <c r="B44" s="74">
        <v>12</v>
      </c>
      <c r="C44" s="70" t="s">
        <v>58</v>
      </c>
      <c r="D44" s="71" t="s">
        <v>59</v>
      </c>
      <c r="E44" s="74" t="s">
        <v>53</v>
      </c>
      <c r="F44" s="75">
        <v>24.3</v>
      </c>
      <c r="G44" s="75">
        <v>15</v>
      </c>
      <c r="H44" s="72">
        <f t="shared" si="11"/>
        <v>4.63770846E-2</v>
      </c>
      <c r="I44" s="73">
        <f t="shared" si="12"/>
        <v>0.1855083384</v>
      </c>
      <c r="J44" s="72">
        <f t="shared" si="13"/>
        <v>0.25844744502</v>
      </c>
      <c r="K44" s="73">
        <f t="shared" si="14"/>
        <v>1.03378978008</v>
      </c>
      <c r="L44" s="73">
        <f t="shared" si="15"/>
        <v>4</v>
      </c>
    </row>
    <row r="45" spans="1:12" x14ac:dyDescent="0.25">
      <c r="A45" s="74">
        <v>3</v>
      </c>
      <c r="B45" s="74">
        <v>13</v>
      </c>
      <c r="C45" s="70" t="s">
        <v>58</v>
      </c>
      <c r="D45" s="71" t="s">
        <v>59</v>
      </c>
      <c r="E45" s="74" t="s">
        <v>61</v>
      </c>
      <c r="F45" s="75">
        <v>38.299999999999997</v>
      </c>
      <c r="G45" s="75">
        <v>17</v>
      </c>
      <c r="H45" s="72">
        <f t="shared" si="11"/>
        <v>0.11520954059999997</v>
      </c>
      <c r="I45" s="73">
        <f t="shared" si="12"/>
        <v>0.46083816239999986</v>
      </c>
      <c r="J45" s="72">
        <f t="shared" si="13"/>
        <v>0.71841276787599984</v>
      </c>
      <c r="K45" s="73">
        <f t="shared" si="14"/>
        <v>2.8736510715039993</v>
      </c>
      <c r="L45" s="73">
        <f t="shared" si="15"/>
        <v>4</v>
      </c>
    </row>
    <row r="46" spans="1:12" x14ac:dyDescent="0.25">
      <c r="A46" s="74">
        <v>3</v>
      </c>
      <c r="B46" s="74">
        <v>14</v>
      </c>
      <c r="C46" s="70" t="s">
        <v>58</v>
      </c>
      <c r="D46" s="71" t="s">
        <v>59</v>
      </c>
      <c r="E46" s="74" t="s">
        <v>53</v>
      </c>
      <c r="F46" s="75">
        <v>24</v>
      </c>
      <c r="G46" s="75">
        <v>8</v>
      </c>
      <c r="H46" s="72">
        <f t="shared" si="11"/>
        <v>4.5239040000000001E-2</v>
      </c>
      <c r="I46" s="73">
        <f t="shared" si="12"/>
        <v>0.18095616</v>
      </c>
      <c r="J46" s="72">
        <f t="shared" si="13"/>
        <v>0.1368939384</v>
      </c>
      <c r="K46" s="73">
        <f t="shared" si="14"/>
        <v>0.54757575359999999</v>
      </c>
      <c r="L46" s="73">
        <f t="shared" si="15"/>
        <v>4</v>
      </c>
    </row>
    <row r="47" spans="1:12" x14ac:dyDescent="0.25">
      <c r="A47" s="74">
        <v>3</v>
      </c>
      <c r="B47" s="74">
        <v>15</v>
      </c>
      <c r="C47" s="70" t="s">
        <v>58</v>
      </c>
      <c r="D47" s="71" t="s">
        <v>59</v>
      </c>
      <c r="E47" s="74" t="s">
        <v>53</v>
      </c>
      <c r="F47" s="75">
        <v>23</v>
      </c>
      <c r="G47" s="75">
        <v>9</v>
      </c>
      <c r="H47" s="72">
        <f t="shared" si="11"/>
        <v>4.154766E-2</v>
      </c>
      <c r="I47" s="73">
        <f t="shared" si="12"/>
        <v>0.16619064</v>
      </c>
      <c r="J47" s="72">
        <f t="shared" si="13"/>
        <v>0.141270534</v>
      </c>
      <c r="K47" s="73">
        <f t="shared" si="14"/>
        <v>0.56508213600000001</v>
      </c>
      <c r="L47" s="73">
        <f t="shared" si="15"/>
        <v>4</v>
      </c>
    </row>
    <row r="48" spans="1:12" x14ac:dyDescent="0.25">
      <c r="A48" s="74">
        <v>3</v>
      </c>
      <c r="B48" s="74">
        <v>16</v>
      </c>
      <c r="C48" s="70" t="s">
        <v>58</v>
      </c>
      <c r="D48" s="71" t="s">
        <v>59</v>
      </c>
      <c r="E48" s="74" t="s">
        <v>61</v>
      </c>
      <c r="F48" s="75">
        <v>32.700000000000003</v>
      </c>
      <c r="G48" s="75">
        <v>16</v>
      </c>
      <c r="H48" s="72">
        <f t="shared" si="11"/>
        <v>8.3982036600000004E-2</v>
      </c>
      <c r="I48" s="73">
        <f t="shared" si="12"/>
        <v>0.33592814640000002</v>
      </c>
      <c r="J48" s="72">
        <f t="shared" si="13"/>
        <v>0.49447724572800006</v>
      </c>
      <c r="K48" s="73">
        <f t="shared" si="14"/>
        <v>1.9779089829120002</v>
      </c>
      <c r="L48" s="73">
        <f t="shared" si="15"/>
        <v>4</v>
      </c>
    </row>
    <row r="49" spans="1:12" x14ac:dyDescent="0.25">
      <c r="A49" s="74">
        <v>3</v>
      </c>
      <c r="B49" s="74">
        <v>17</v>
      </c>
      <c r="C49" s="70" t="s">
        <v>58</v>
      </c>
      <c r="D49" s="71" t="s">
        <v>59</v>
      </c>
      <c r="E49" s="74" t="s">
        <v>53</v>
      </c>
      <c r="F49" s="75">
        <v>23</v>
      </c>
      <c r="G49" s="75">
        <v>16</v>
      </c>
      <c r="H49" s="72">
        <f t="shared" si="11"/>
        <v>4.154766E-2</v>
      </c>
      <c r="I49" s="73">
        <f t="shared" si="12"/>
        <v>0.16619064</v>
      </c>
      <c r="J49" s="72">
        <f t="shared" si="13"/>
        <v>0.24719558959999999</v>
      </c>
      <c r="K49" s="73">
        <f t="shared" si="14"/>
        <v>0.98878235839999995</v>
      </c>
      <c r="L49" s="73">
        <f t="shared" si="15"/>
        <v>4</v>
      </c>
    </row>
    <row r="50" spans="1:12" x14ac:dyDescent="0.25">
      <c r="A50" s="74">
        <v>4</v>
      </c>
      <c r="B50" s="74">
        <v>1</v>
      </c>
      <c r="C50" s="70" t="s">
        <v>58</v>
      </c>
      <c r="D50" s="71" t="s">
        <v>59</v>
      </c>
      <c r="E50" s="74" t="s">
        <v>53</v>
      </c>
      <c r="F50" s="75">
        <v>25</v>
      </c>
      <c r="G50" s="75">
        <v>14</v>
      </c>
      <c r="H50" s="72">
        <f t="shared" si="11"/>
        <v>4.9087499999999999E-2</v>
      </c>
      <c r="I50" s="73">
        <f t="shared" si="12"/>
        <v>0.19635</v>
      </c>
      <c r="J50" s="72">
        <f t="shared" si="13"/>
        <v>0.25537667679999998</v>
      </c>
      <c r="K50" s="73">
        <f t="shared" si="14"/>
        <v>1.0215067071999999</v>
      </c>
      <c r="L50" s="73">
        <f t="shared" si="15"/>
        <v>4</v>
      </c>
    </row>
    <row r="51" spans="1:12" x14ac:dyDescent="0.25">
      <c r="A51" s="74">
        <v>4</v>
      </c>
      <c r="B51" s="74">
        <v>2</v>
      </c>
      <c r="C51" s="70" t="s">
        <v>58</v>
      </c>
      <c r="D51" s="71" t="s">
        <v>59</v>
      </c>
      <c r="E51" s="74" t="s">
        <v>61</v>
      </c>
      <c r="F51" s="75">
        <v>38</v>
      </c>
      <c r="G51" s="75">
        <v>15</v>
      </c>
      <c r="H51" s="72">
        <f t="shared" si="11"/>
        <v>0.11341176</v>
      </c>
      <c r="I51" s="73">
        <f t="shared" si="12"/>
        <v>0.45364704</v>
      </c>
      <c r="J51" s="72">
        <f t="shared" si="13"/>
        <v>0.62466980879999989</v>
      </c>
      <c r="K51" s="73">
        <f t="shared" si="14"/>
        <v>2.4986792351999996</v>
      </c>
      <c r="L51" s="73">
        <f t="shared" si="15"/>
        <v>4</v>
      </c>
    </row>
    <row r="52" spans="1:12" x14ac:dyDescent="0.25">
      <c r="A52" s="74">
        <v>4</v>
      </c>
      <c r="B52" s="74">
        <v>3</v>
      </c>
      <c r="C52" s="70" t="s">
        <v>58</v>
      </c>
      <c r="D52" s="71" t="s">
        <v>59</v>
      </c>
      <c r="E52" s="74" t="s">
        <v>53</v>
      </c>
      <c r="F52" s="75">
        <v>25</v>
      </c>
      <c r="G52" s="75">
        <v>13</v>
      </c>
      <c r="H52" s="72">
        <f t="shared" si="11"/>
        <v>4.9087499999999999E-2</v>
      </c>
      <c r="I52" s="73">
        <f t="shared" si="12"/>
        <v>0.19635</v>
      </c>
      <c r="J52" s="72">
        <f t="shared" si="13"/>
        <v>0.2374984268</v>
      </c>
      <c r="K52" s="73">
        <f t="shared" si="14"/>
        <v>0.94999370719999998</v>
      </c>
      <c r="L52" s="73">
        <f t="shared" si="15"/>
        <v>4</v>
      </c>
    </row>
    <row r="53" spans="1:12" x14ac:dyDescent="0.25">
      <c r="A53" s="74">
        <v>4</v>
      </c>
      <c r="B53" s="74">
        <v>4</v>
      </c>
      <c r="C53" s="70" t="s">
        <v>58</v>
      </c>
      <c r="D53" s="71" t="s">
        <v>59</v>
      </c>
      <c r="E53" s="74" t="s">
        <v>52</v>
      </c>
      <c r="F53" s="75">
        <v>17</v>
      </c>
      <c r="G53" s="75">
        <v>10</v>
      </c>
      <c r="H53" s="72">
        <f t="shared" si="11"/>
        <v>2.2698060000000003E-2</v>
      </c>
      <c r="I53" s="73">
        <f t="shared" si="12"/>
        <v>9.079224000000001E-2</v>
      </c>
      <c r="J53" s="72">
        <f t="shared" si="13"/>
        <v>8.7750204799999995E-2</v>
      </c>
      <c r="K53" s="73">
        <f t="shared" si="14"/>
        <v>0.35100081919999998</v>
      </c>
      <c r="L53" s="73">
        <f t="shared" si="15"/>
        <v>4</v>
      </c>
    </row>
    <row r="54" spans="1:12" x14ac:dyDescent="0.25">
      <c r="A54" s="74">
        <v>4</v>
      </c>
      <c r="B54" s="74">
        <v>5</v>
      </c>
      <c r="C54" s="70" t="s">
        <v>58</v>
      </c>
      <c r="D54" s="71" t="s">
        <v>59</v>
      </c>
      <c r="E54" s="74" t="s">
        <v>53</v>
      </c>
      <c r="F54" s="75">
        <v>29</v>
      </c>
      <c r="G54" s="75">
        <v>14</v>
      </c>
      <c r="H54" s="72">
        <f t="shared" si="11"/>
        <v>6.6052139999999995E-2</v>
      </c>
      <c r="I54" s="73">
        <f t="shared" si="12"/>
        <v>0.26420855999999998</v>
      </c>
      <c r="J54" s="72">
        <f t="shared" si="13"/>
        <v>0.34187880159999995</v>
      </c>
      <c r="K54" s="73">
        <f t="shared" si="14"/>
        <v>1.3675152063999998</v>
      </c>
      <c r="L54" s="73">
        <f t="shared" si="15"/>
        <v>4</v>
      </c>
    </row>
    <row r="55" spans="1:12" x14ac:dyDescent="0.25">
      <c r="A55" s="74">
        <v>4</v>
      </c>
      <c r="B55" s="74">
        <v>6</v>
      </c>
      <c r="C55" s="70" t="s">
        <v>58</v>
      </c>
      <c r="D55" s="71" t="s">
        <v>59</v>
      </c>
      <c r="E55" s="74" t="s">
        <v>52</v>
      </c>
      <c r="F55" s="75">
        <v>18</v>
      </c>
      <c r="G55" s="75">
        <v>10</v>
      </c>
      <c r="H55" s="72">
        <f t="shared" si="11"/>
        <v>2.5446959999999998E-2</v>
      </c>
      <c r="I55" s="73">
        <f t="shared" si="12"/>
        <v>0.10178783999999999</v>
      </c>
      <c r="J55" s="72">
        <f t="shared" si="13"/>
        <v>9.77620248E-2</v>
      </c>
      <c r="K55" s="73">
        <f t="shared" si="14"/>
        <v>0.3910480992</v>
      </c>
      <c r="L55" s="73">
        <f t="shared" si="15"/>
        <v>4</v>
      </c>
    </row>
    <row r="56" spans="1:12" x14ac:dyDescent="0.25">
      <c r="A56" s="74">
        <v>4</v>
      </c>
      <c r="B56" s="74">
        <v>7</v>
      </c>
      <c r="C56" s="70" t="s">
        <v>58</v>
      </c>
      <c r="D56" s="71" t="s">
        <v>59</v>
      </c>
      <c r="E56" s="74" t="s">
        <v>52</v>
      </c>
      <c r="F56" s="75">
        <v>14</v>
      </c>
      <c r="G56" s="75">
        <v>8</v>
      </c>
      <c r="H56" s="72">
        <f t="shared" si="11"/>
        <v>1.5393840000000002E-2</v>
      </c>
      <c r="I56" s="73">
        <f t="shared" si="12"/>
        <v>6.157536000000001E-2</v>
      </c>
      <c r="J56" s="72">
        <f t="shared" si="13"/>
        <v>4.9934130399999999E-2</v>
      </c>
      <c r="K56" s="73">
        <f t="shared" si="14"/>
        <v>0.19973652159999999</v>
      </c>
      <c r="L56" s="73">
        <f t="shared" si="15"/>
        <v>4</v>
      </c>
    </row>
    <row r="57" spans="1:12" x14ac:dyDescent="0.25">
      <c r="A57" s="74">
        <v>4</v>
      </c>
      <c r="B57" s="74">
        <v>8</v>
      </c>
      <c r="C57" s="70" t="s">
        <v>58</v>
      </c>
      <c r="D57" s="71" t="s">
        <v>59</v>
      </c>
      <c r="E57" s="74" t="s">
        <v>52</v>
      </c>
      <c r="F57" s="75">
        <v>16</v>
      </c>
      <c r="G57" s="75">
        <v>13</v>
      </c>
      <c r="H57" s="72">
        <f t="shared" si="11"/>
        <v>2.0106240000000001E-2</v>
      </c>
      <c r="I57" s="73">
        <f t="shared" si="12"/>
        <v>8.0424960000000004E-2</v>
      </c>
      <c r="J57" s="72">
        <f t="shared" si="13"/>
        <v>0.1002792824</v>
      </c>
      <c r="K57" s="73">
        <f t="shared" si="14"/>
        <v>0.40111712960000001</v>
      </c>
      <c r="L57" s="73">
        <f t="shared" si="15"/>
        <v>4</v>
      </c>
    </row>
    <row r="58" spans="1:12" s="1" customFormat="1" x14ac:dyDescent="0.25">
      <c r="A58" s="74">
        <v>4</v>
      </c>
      <c r="B58" s="74">
        <v>9</v>
      </c>
      <c r="C58" s="70" t="s">
        <v>58</v>
      </c>
      <c r="D58" s="71" t="s">
        <v>59</v>
      </c>
      <c r="E58" s="74" t="s">
        <v>53</v>
      </c>
      <c r="F58" s="75">
        <v>22</v>
      </c>
      <c r="G58" s="75">
        <v>16</v>
      </c>
      <c r="H58" s="72">
        <f t="shared" si="11"/>
        <v>3.8013359999999996E-2</v>
      </c>
      <c r="I58" s="73">
        <f t="shared" si="12"/>
        <v>0.15205343999999998</v>
      </c>
      <c r="J58" s="72">
        <f t="shared" si="13"/>
        <v>0.22659984559999999</v>
      </c>
      <c r="K58" s="73">
        <f t="shared" si="14"/>
        <v>0.90639938239999995</v>
      </c>
      <c r="L58" s="73">
        <f t="shared" si="15"/>
        <v>4</v>
      </c>
    </row>
    <row r="59" spans="1:12" s="1" customFormat="1" x14ac:dyDescent="0.25">
      <c r="A59" s="74">
        <v>4</v>
      </c>
      <c r="B59" s="74">
        <v>10</v>
      </c>
      <c r="C59" s="70" t="s">
        <v>58</v>
      </c>
      <c r="D59" s="71" t="s">
        <v>59</v>
      </c>
      <c r="E59" s="74" t="s">
        <v>52</v>
      </c>
      <c r="F59" s="75">
        <v>18</v>
      </c>
      <c r="G59" s="75">
        <v>15</v>
      </c>
      <c r="H59" s="72">
        <f t="shared" si="11"/>
        <v>2.5446959999999998E-2</v>
      </c>
      <c r="I59" s="73">
        <f t="shared" si="12"/>
        <v>0.10178783999999999</v>
      </c>
      <c r="J59" s="72">
        <f t="shared" si="13"/>
        <v>0.1441024488</v>
      </c>
      <c r="K59" s="73">
        <f t="shared" si="14"/>
        <v>0.57640979520000002</v>
      </c>
      <c r="L59" s="73">
        <f t="shared" si="15"/>
        <v>4</v>
      </c>
    </row>
    <row r="60" spans="1:12" s="1" customFormat="1" x14ac:dyDescent="0.25">
      <c r="A60" s="74">
        <v>4</v>
      </c>
      <c r="B60" s="74">
        <v>11</v>
      </c>
      <c r="C60" s="70" t="s">
        <v>58</v>
      </c>
      <c r="D60" s="71" t="s">
        <v>59</v>
      </c>
      <c r="E60" s="74" t="s">
        <v>52</v>
      </c>
      <c r="F60" s="75">
        <v>17</v>
      </c>
      <c r="G60" s="75">
        <v>14</v>
      </c>
      <c r="H60" s="72">
        <f t="shared" si="11"/>
        <v>2.2698060000000003E-2</v>
      </c>
      <c r="I60" s="73">
        <f t="shared" si="12"/>
        <v>9.079224000000001E-2</v>
      </c>
      <c r="J60" s="72">
        <f t="shared" si="13"/>
        <v>0.12081781599999999</v>
      </c>
      <c r="K60" s="73">
        <f t="shared" si="14"/>
        <v>0.48327126399999998</v>
      </c>
      <c r="L60" s="73">
        <f t="shared" si="15"/>
        <v>4</v>
      </c>
    </row>
    <row r="61" spans="1:12" x14ac:dyDescent="0.25">
      <c r="A61" s="74">
        <v>4</v>
      </c>
      <c r="B61" s="74">
        <v>12</v>
      </c>
      <c r="C61" s="70" t="s">
        <v>58</v>
      </c>
      <c r="D61" s="71" t="s">
        <v>59</v>
      </c>
      <c r="E61" s="74" t="s">
        <v>53</v>
      </c>
      <c r="F61" s="75">
        <v>22</v>
      </c>
      <c r="G61" s="75">
        <v>14</v>
      </c>
      <c r="H61" s="72">
        <f t="shared" si="11"/>
        <v>3.8013359999999996E-2</v>
      </c>
      <c r="I61" s="73">
        <f t="shared" si="12"/>
        <v>0.15205343999999998</v>
      </c>
      <c r="J61" s="72">
        <f t="shared" si="13"/>
        <v>0.198910012</v>
      </c>
      <c r="K61" s="73">
        <f t="shared" si="14"/>
        <v>0.79564004799999999</v>
      </c>
      <c r="L61" s="73">
        <f t="shared" si="15"/>
        <v>4</v>
      </c>
    </row>
    <row r="62" spans="1:12" s="1" customFormat="1" x14ac:dyDescent="0.25">
      <c r="A62" s="74">
        <v>4</v>
      </c>
      <c r="B62" s="74">
        <v>13</v>
      </c>
      <c r="C62" s="70" t="s">
        <v>58</v>
      </c>
      <c r="D62" s="71" t="s">
        <v>59</v>
      </c>
      <c r="E62" s="74" t="s">
        <v>53</v>
      </c>
      <c r="F62" s="75">
        <v>23</v>
      </c>
      <c r="G62" s="75">
        <v>16</v>
      </c>
      <c r="H62" s="72">
        <f t="shared" si="11"/>
        <v>4.154766E-2</v>
      </c>
      <c r="I62" s="73">
        <f t="shared" si="12"/>
        <v>0.16619064</v>
      </c>
      <c r="J62" s="72">
        <f t="shared" si="13"/>
        <v>0.24719558959999999</v>
      </c>
      <c r="K62" s="73">
        <f t="shared" si="14"/>
        <v>0.98878235839999995</v>
      </c>
      <c r="L62" s="73">
        <f t="shared" si="15"/>
        <v>4</v>
      </c>
    </row>
    <row r="63" spans="1:12" s="1" customFormat="1" x14ac:dyDescent="0.25">
      <c r="A63" s="74">
        <v>4</v>
      </c>
      <c r="B63" s="74">
        <v>14</v>
      </c>
      <c r="C63" s="70" t="s">
        <v>58</v>
      </c>
      <c r="D63" s="71" t="s">
        <v>59</v>
      </c>
      <c r="E63" s="74" t="s">
        <v>53</v>
      </c>
      <c r="F63" s="75">
        <v>23</v>
      </c>
      <c r="G63" s="75">
        <v>15</v>
      </c>
      <c r="H63" s="72">
        <f t="shared" si="11"/>
        <v>4.154766E-2</v>
      </c>
      <c r="I63" s="73">
        <f t="shared" si="12"/>
        <v>0.16619064</v>
      </c>
      <c r="J63" s="72">
        <f t="shared" si="13"/>
        <v>0.23206343879999999</v>
      </c>
      <c r="K63" s="73">
        <f t="shared" si="14"/>
        <v>0.92825375519999997</v>
      </c>
      <c r="L63" s="73">
        <f t="shared" si="15"/>
        <v>4</v>
      </c>
    </row>
    <row r="64" spans="1:12" x14ac:dyDescent="0.25">
      <c r="A64" s="74">
        <v>4</v>
      </c>
      <c r="B64" s="74">
        <v>15</v>
      </c>
      <c r="C64" s="70" t="s">
        <v>69</v>
      </c>
      <c r="D64" s="90" t="s">
        <v>75</v>
      </c>
      <c r="E64" s="74" t="s">
        <v>52</v>
      </c>
      <c r="F64" s="75">
        <v>15.7</v>
      </c>
      <c r="G64" s="75">
        <v>10</v>
      </c>
      <c r="H64" s="72">
        <f t="shared" si="11"/>
        <v>1.9359324600000002E-2</v>
      </c>
      <c r="I64" s="73">
        <f t="shared" si="12"/>
        <v>7.7437298400000007E-2</v>
      </c>
      <c r="J64" s="72">
        <f t="shared" ref="J64:J67" si="16">(0.108337266+0.000046499*(F64^2*G64))</f>
        <v>0.22295265110000001</v>
      </c>
      <c r="K64" s="73">
        <f t="shared" si="14"/>
        <v>0.89181060440000004</v>
      </c>
      <c r="L64" s="73">
        <f t="shared" si="15"/>
        <v>4</v>
      </c>
    </row>
    <row r="65" spans="1:12" s="1" customFormat="1" x14ac:dyDescent="0.25">
      <c r="A65" s="74">
        <v>4</v>
      </c>
      <c r="B65" s="74">
        <v>16</v>
      </c>
      <c r="C65" s="70" t="s">
        <v>69</v>
      </c>
      <c r="D65" s="90" t="s">
        <v>75</v>
      </c>
      <c r="E65" s="74" t="s">
        <v>52</v>
      </c>
      <c r="F65" s="75">
        <v>16</v>
      </c>
      <c r="G65" s="75">
        <v>12</v>
      </c>
      <c r="H65" s="72">
        <f t="shared" si="11"/>
        <v>2.0106240000000001E-2</v>
      </c>
      <c r="I65" s="73">
        <f t="shared" si="12"/>
        <v>8.0424960000000004E-2</v>
      </c>
      <c r="J65" s="72">
        <f t="shared" si="16"/>
        <v>0.25118219400000003</v>
      </c>
      <c r="K65" s="73">
        <f t="shared" si="14"/>
        <v>1.0047287760000001</v>
      </c>
      <c r="L65" s="73">
        <f t="shared" si="15"/>
        <v>4</v>
      </c>
    </row>
    <row r="66" spans="1:12" s="1" customFormat="1" x14ac:dyDescent="0.25">
      <c r="A66" s="74">
        <v>4</v>
      </c>
      <c r="B66" s="74">
        <v>17</v>
      </c>
      <c r="C66" s="70" t="s">
        <v>69</v>
      </c>
      <c r="D66" s="90" t="s">
        <v>75</v>
      </c>
      <c r="E66" s="74" t="s">
        <v>52</v>
      </c>
      <c r="F66" s="75">
        <v>17</v>
      </c>
      <c r="G66" s="75">
        <v>13</v>
      </c>
      <c r="H66" s="72">
        <f t="shared" si="11"/>
        <v>2.2698060000000003E-2</v>
      </c>
      <c r="I66" s="73">
        <f t="shared" si="12"/>
        <v>9.079224000000001E-2</v>
      </c>
      <c r="J66" s="72">
        <f t="shared" ref="J66" si="17">(0.108337266+0.000046499*(F66^2*G66))</f>
        <v>0.28303400900000003</v>
      </c>
      <c r="K66" s="73">
        <f t="shared" ref="K66" si="18">J66/$O$3</f>
        <v>1.1321360360000001</v>
      </c>
      <c r="L66" s="73">
        <f t="shared" si="15"/>
        <v>4</v>
      </c>
    </row>
    <row r="67" spans="1:12" x14ac:dyDescent="0.25">
      <c r="A67" s="74">
        <v>4</v>
      </c>
      <c r="B67" s="74">
        <v>18</v>
      </c>
      <c r="C67" s="70" t="s">
        <v>69</v>
      </c>
      <c r="D67" s="90" t="s">
        <v>75</v>
      </c>
      <c r="E67" s="74" t="s">
        <v>52</v>
      </c>
      <c r="F67" s="75">
        <v>19</v>
      </c>
      <c r="G67" s="75">
        <v>12</v>
      </c>
      <c r="H67" s="72">
        <f t="shared" si="11"/>
        <v>2.835294E-2</v>
      </c>
      <c r="I67" s="73">
        <f t="shared" si="12"/>
        <v>0.11341176</v>
      </c>
      <c r="J67" s="72">
        <f t="shared" si="16"/>
        <v>0.309770934</v>
      </c>
      <c r="K67" s="73">
        <f t="shared" si="14"/>
        <v>1.239083736</v>
      </c>
      <c r="L67" s="73">
        <f t="shared" si="15"/>
        <v>4</v>
      </c>
    </row>
    <row r="68" spans="1:12" x14ac:dyDescent="0.25">
      <c r="A68" s="74">
        <v>5</v>
      </c>
      <c r="B68" s="74">
        <v>1</v>
      </c>
      <c r="C68" s="70" t="s">
        <v>58</v>
      </c>
      <c r="D68" s="71" t="s">
        <v>59</v>
      </c>
      <c r="E68" s="74" t="s">
        <v>52</v>
      </c>
      <c r="F68" s="75">
        <v>17.3</v>
      </c>
      <c r="G68" s="75">
        <v>13</v>
      </c>
      <c r="H68" s="72">
        <f t="shared" ref="H68:H77" si="19">0.7854*(F68/100)^2</f>
        <v>2.3506236600000004E-2</v>
      </c>
      <c r="I68" s="73">
        <f t="shared" ref="I68:I77" si="20">H68*1/$O$3</f>
        <v>9.4024946400000017E-2</v>
      </c>
      <c r="J68" s="72">
        <f t="shared" ref="J68:J76" si="21">(0.0050811768+0.0000286052*(F68^2*G68))</f>
        <v>0.11637743080400001</v>
      </c>
      <c r="K68" s="73">
        <f t="shared" ref="K68:K77" si="22">J68/$O$3</f>
        <v>0.46550972321600004</v>
      </c>
      <c r="L68" s="73">
        <f t="shared" ref="L68:L77" si="23">1*1/$O$3</f>
        <v>4</v>
      </c>
    </row>
    <row r="69" spans="1:12" x14ac:dyDescent="0.25">
      <c r="A69" s="74">
        <v>5</v>
      </c>
      <c r="B69" s="74">
        <v>2</v>
      </c>
      <c r="C69" s="70" t="s">
        <v>58</v>
      </c>
      <c r="D69" s="71" t="s">
        <v>59</v>
      </c>
      <c r="E69" s="74" t="s">
        <v>52</v>
      </c>
      <c r="F69" s="75">
        <v>13</v>
      </c>
      <c r="G69" s="75">
        <v>10</v>
      </c>
      <c r="H69" s="72">
        <f t="shared" si="19"/>
        <v>1.3273260000000002E-2</v>
      </c>
      <c r="I69" s="73">
        <f t="shared" si="20"/>
        <v>5.3093040000000008E-2</v>
      </c>
      <c r="J69" s="72">
        <f t="shared" si="21"/>
        <v>5.3423964800000001E-2</v>
      </c>
      <c r="K69" s="73">
        <f t="shared" si="22"/>
        <v>0.2136958592</v>
      </c>
      <c r="L69" s="73">
        <f t="shared" si="23"/>
        <v>4</v>
      </c>
    </row>
    <row r="70" spans="1:12" x14ac:dyDescent="0.25">
      <c r="A70" s="74">
        <v>5</v>
      </c>
      <c r="B70" s="74">
        <v>3</v>
      </c>
      <c r="C70" s="70" t="s">
        <v>58</v>
      </c>
      <c r="D70" s="71" t="s">
        <v>59</v>
      </c>
      <c r="E70" s="74" t="s">
        <v>61</v>
      </c>
      <c r="F70" s="75">
        <v>33</v>
      </c>
      <c r="G70" s="75">
        <v>17</v>
      </c>
      <c r="H70" s="72">
        <f t="shared" si="19"/>
        <v>8.5530060000000005E-2</v>
      </c>
      <c r="I70" s="73">
        <f t="shared" si="20"/>
        <v>0.34212024000000002</v>
      </c>
      <c r="J70" s="72">
        <f t="shared" si="21"/>
        <v>0.53464924439999995</v>
      </c>
      <c r="K70" s="73">
        <f t="shared" si="22"/>
        <v>2.1385969775999998</v>
      </c>
      <c r="L70" s="73">
        <f t="shared" si="23"/>
        <v>4</v>
      </c>
    </row>
    <row r="71" spans="1:12" x14ac:dyDescent="0.25">
      <c r="A71" s="74">
        <v>5</v>
      </c>
      <c r="B71" s="74">
        <v>4</v>
      </c>
      <c r="C71" s="70" t="s">
        <v>58</v>
      </c>
      <c r="D71" s="71" t="s">
        <v>59</v>
      </c>
      <c r="E71" s="74" t="s">
        <v>53</v>
      </c>
      <c r="F71" s="75">
        <v>20</v>
      </c>
      <c r="G71" s="75">
        <v>14</v>
      </c>
      <c r="H71" s="72">
        <f t="shared" si="19"/>
        <v>3.1416000000000006E-2</v>
      </c>
      <c r="I71" s="73">
        <f t="shared" si="20"/>
        <v>0.12566400000000003</v>
      </c>
      <c r="J71" s="72">
        <f t="shared" si="21"/>
        <v>0.16527029679999999</v>
      </c>
      <c r="K71" s="73">
        <f t="shared" si="22"/>
        <v>0.66108118719999998</v>
      </c>
      <c r="L71" s="73">
        <f t="shared" si="23"/>
        <v>4</v>
      </c>
    </row>
    <row r="72" spans="1:12" x14ac:dyDescent="0.25">
      <c r="A72" s="74">
        <v>5</v>
      </c>
      <c r="B72" s="74">
        <v>5</v>
      </c>
      <c r="C72" s="70" t="s">
        <v>58</v>
      </c>
      <c r="D72" s="71" t="s">
        <v>59</v>
      </c>
      <c r="E72" s="74" t="s">
        <v>62</v>
      </c>
      <c r="F72" s="75">
        <v>45</v>
      </c>
      <c r="G72" s="75">
        <v>20</v>
      </c>
      <c r="H72" s="72">
        <f t="shared" si="19"/>
        <v>0.1590435</v>
      </c>
      <c r="I72" s="73">
        <f t="shared" si="20"/>
        <v>0.63617400000000002</v>
      </c>
      <c r="J72" s="72">
        <f t="shared" si="21"/>
        <v>1.1635917767999999</v>
      </c>
      <c r="K72" s="73">
        <f t="shared" si="22"/>
        <v>4.6543671071999997</v>
      </c>
      <c r="L72" s="73">
        <f t="shared" si="23"/>
        <v>4</v>
      </c>
    </row>
    <row r="73" spans="1:12" x14ac:dyDescent="0.25">
      <c r="A73" s="74">
        <v>5</v>
      </c>
      <c r="B73" s="74">
        <v>6</v>
      </c>
      <c r="C73" s="70" t="s">
        <v>58</v>
      </c>
      <c r="D73" s="71" t="s">
        <v>59</v>
      </c>
      <c r="E73" s="74" t="s">
        <v>52</v>
      </c>
      <c r="F73" s="75">
        <v>18</v>
      </c>
      <c r="G73" s="75">
        <v>15</v>
      </c>
      <c r="H73" s="72">
        <f t="shared" si="19"/>
        <v>2.5446959999999998E-2</v>
      </c>
      <c r="I73" s="73">
        <f t="shared" si="20"/>
        <v>0.10178783999999999</v>
      </c>
      <c r="J73" s="72">
        <f t="shared" si="21"/>
        <v>0.1441024488</v>
      </c>
      <c r="K73" s="73">
        <f t="shared" si="22"/>
        <v>0.57640979520000002</v>
      </c>
      <c r="L73" s="73">
        <f t="shared" si="23"/>
        <v>4</v>
      </c>
    </row>
    <row r="74" spans="1:12" x14ac:dyDescent="0.25">
      <c r="A74" s="74">
        <v>5</v>
      </c>
      <c r="B74" s="74">
        <v>7</v>
      </c>
      <c r="C74" s="70" t="s">
        <v>58</v>
      </c>
      <c r="D74" s="71" t="s">
        <v>59</v>
      </c>
      <c r="E74" s="74" t="s">
        <v>52</v>
      </c>
      <c r="F74" s="75">
        <v>16.100000000000001</v>
      </c>
      <c r="G74" s="75">
        <v>12</v>
      </c>
      <c r="H74" s="72">
        <f t="shared" si="19"/>
        <v>2.0358353400000001E-2</v>
      </c>
      <c r="I74" s="73">
        <f t="shared" si="20"/>
        <v>8.1433413600000004E-2</v>
      </c>
      <c r="J74" s="72">
        <f t="shared" si="21"/>
        <v>9.4058223504000005E-2</v>
      </c>
      <c r="K74" s="73">
        <f t="shared" si="22"/>
        <v>0.37623289401600002</v>
      </c>
      <c r="L74" s="73">
        <f t="shared" si="23"/>
        <v>4</v>
      </c>
    </row>
    <row r="75" spans="1:12" x14ac:dyDescent="0.25">
      <c r="A75" s="74">
        <v>5</v>
      </c>
      <c r="B75" s="74">
        <v>8</v>
      </c>
      <c r="C75" s="70" t="s">
        <v>58</v>
      </c>
      <c r="D75" s="71" t="s">
        <v>59</v>
      </c>
      <c r="E75" s="74" t="s">
        <v>62</v>
      </c>
      <c r="F75" s="75">
        <v>40.5</v>
      </c>
      <c r="G75" s="75">
        <v>15</v>
      </c>
      <c r="H75" s="72">
        <f t="shared" si="19"/>
        <v>0.12882523500000001</v>
      </c>
      <c r="I75" s="73">
        <f t="shared" si="20"/>
        <v>0.51530094000000004</v>
      </c>
      <c r="J75" s="72">
        <f t="shared" si="21"/>
        <v>0.70887636629999995</v>
      </c>
      <c r="K75" s="73">
        <f t="shared" si="22"/>
        <v>2.8355054651999998</v>
      </c>
      <c r="L75" s="73">
        <f t="shared" si="23"/>
        <v>4</v>
      </c>
    </row>
    <row r="76" spans="1:12" x14ac:dyDescent="0.25">
      <c r="A76" s="74">
        <v>5</v>
      </c>
      <c r="B76" s="74">
        <v>9</v>
      </c>
      <c r="C76" s="70" t="s">
        <v>58</v>
      </c>
      <c r="D76" s="71" t="s">
        <v>59</v>
      </c>
      <c r="E76" s="74" t="s">
        <v>52</v>
      </c>
      <c r="F76" s="75">
        <v>16</v>
      </c>
      <c r="G76" s="75">
        <v>13</v>
      </c>
      <c r="H76" s="72">
        <f t="shared" si="19"/>
        <v>2.0106240000000001E-2</v>
      </c>
      <c r="I76" s="73">
        <f t="shared" si="20"/>
        <v>8.0424960000000004E-2</v>
      </c>
      <c r="J76" s="72">
        <f t="shared" si="21"/>
        <v>0.1002792824</v>
      </c>
      <c r="K76" s="73">
        <f t="shared" si="22"/>
        <v>0.40111712960000001</v>
      </c>
      <c r="L76" s="73">
        <f t="shared" si="23"/>
        <v>4</v>
      </c>
    </row>
    <row r="77" spans="1:12" x14ac:dyDescent="0.25">
      <c r="A77" s="74">
        <v>5</v>
      </c>
      <c r="B77" s="74">
        <v>10</v>
      </c>
      <c r="C77" s="70" t="s">
        <v>69</v>
      </c>
      <c r="D77" s="90" t="s">
        <v>75</v>
      </c>
      <c r="E77" s="74" t="s">
        <v>53</v>
      </c>
      <c r="F77" s="75">
        <v>23.2</v>
      </c>
      <c r="G77" s="75">
        <v>18</v>
      </c>
      <c r="H77" s="72">
        <f t="shared" si="19"/>
        <v>4.2273369599999992E-2</v>
      </c>
      <c r="I77" s="73">
        <f t="shared" si="20"/>
        <v>0.16909347839999997</v>
      </c>
      <c r="J77" s="72">
        <f>(0.108337266+0.000046499*(F77^2*G77))</f>
        <v>0.55883445768000006</v>
      </c>
      <c r="K77" s="73">
        <f t="shared" si="22"/>
        <v>2.2353378307200003</v>
      </c>
      <c r="L77" s="73">
        <f t="shared" si="23"/>
        <v>4</v>
      </c>
    </row>
    <row r="78" spans="1:12" x14ac:dyDescent="0.25">
      <c r="A78" s="74">
        <v>5</v>
      </c>
      <c r="B78" s="74">
        <v>12</v>
      </c>
      <c r="C78" s="70" t="s">
        <v>70</v>
      </c>
      <c r="D78" s="74" t="s">
        <v>57</v>
      </c>
      <c r="E78" s="74" t="s">
        <v>62</v>
      </c>
      <c r="F78" s="75">
        <v>49.9</v>
      </c>
      <c r="G78" s="75">
        <v>22</v>
      </c>
      <c r="H78" s="72">
        <f t="shared" ref="H78" si="24">0.7854*(F78/100)^2</f>
        <v>0.19556538539999999</v>
      </c>
      <c r="I78" s="73">
        <f t="shared" ref="I78" si="25">H78*1/$O$3</f>
        <v>0.78226154159999994</v>
      </c>
      <c r="J78" s="72">
        <f>(0.0134651922+0.0000289134*(F78^2*G78))</f>
        <v>1.5973476051479998</v>
      </c>
      <c r="K78" s="73">
        <f t="shared" ref="K78:K79" si="26">J78/$O$3</f>
        <v>6.3893904205919991</v>
      </c>
      <c r="L78" s="73">
        <f t="shared" ref="L78:L80" si="27">1*1/$O$3</f>
        <v>4</v>
      </c>
    </row>
    <row r="79" spans="1:12" x14ac:dyDescent="0.25">
      <c r="A79" s="74">
        <v>5</v>
      </c>
      <c r="B79" s="74">
        <v>13</v>
      </c>
      <c r="C79" s="70" t="s">
        <v>70</v>
      </c>
      <c r="D79" s="74" t="s">
        <v>57</v>
      </c>
      <c r="E79" s="74" t="s">
        <v>53</v>
      </c>
      <c r="F79" s="75">
        <v>29</v>
      </c>
      <c r="G79" s="75">
        <v>17</v>
      </c>
      <c r="H79" s="72">
        <f t="shared" ref="H79" si="28">0.7854*(F79/100)^2</f>
        <v>6.6052139999999995E-2</v>
      </c>
      <c r="I79" s="73">
        <f t="shared" ref="I79" si="29">H79*1/$O$3</f>
        <v>0.26420855999999998</v>
      </c>
      <c r="J79" s="72">
        <f>(0.0134651922+0.0000289134*(F79^2*G79))</f>
        <v>0.42684007199999996</v>
      </c>
      <c r="K79" s="73">
        <f t="shared" si="26"/>
        <v>1.7073602879999998</v>
      </c>
      <c r="L79" s="73">
        <f t="shared" si="27"/>
        <v>4</v>
      </c>
    </row>
    <row r="80" spans="1:12" x14ac:dyDescent="0.25">
      <c r="A80" s="74">
        <v>5</v>
      </c>
      <c r="B80" s="74">
        <v>15</v>
      </c>
      <c r="C80" s="70" t="s">
        <v>70</v>
      </c>
      <c r="D80" s="74" t="s">
        <v>57</v>
      </c>
      <c r="E80" s="74" t="s">
        <v>53</v>
      </c>
      <c r="F80" s="75">
        <v>22</v>
      </c>
      <c r="G80" s="75">
        <v>17</v>
      </c>
      <c r="H80" s="72">
        <f t="shared" ref="H80" si="30">0.7854*(F80/100)^2</f>
        <v>3.8013359999999996E-2</v>
      </c>
      <c r="I80" s="73">
        <f t="shared" ref="I80" si="31">H80*1/$O$3</f>
        <v>0.15205343999999998</v>
      </c>
      <c r="J80" s="72">
        <f t="shared" ref="J80" si="32">(0.0134651922+0.0000289134*(F80^2*G80))</f>
        <v>0.25136464739999997</v>
      </c>
      <c r="K80" s="73">
        <f t="shared" ref="K80" si="33">J80/$O$3</f>
        <v>1.0054585895999999</v>
      </c>
      <c r="L80" s="73">
        <f t="shared" si="27"/>
        <v>4</v>
      </c>
    </row>
  </sheetData>
  <autoFilter ref="A1:L80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7"/>
  <sheetViews>
    <sheetView workbookViewId="0">
      <selection activeCell="A4" sqref="A4"/>
    </sheetView>
  </sheetViews>
  <sheetFormatPr baseColWidth="10" defaultColWidth="11.42578125" defaultRowHeight="15" x14ac:dyDescent="0.25"/>
  <cols>
    <col min="1" max="1" width="20.28515625" customWidth="1"/>
    <col min="2" max="2" width="19" bestFit="1" customWidth="1"/>
    <col min="3" max="3" width="4.140625" bestFit="1" customWidth="1"/>
    <col min="4" max="4" width="21.7109375" customWidth="1"/>
    <col min="5" max="5" width="31.85546875" customWidth="1"/>
    <col min="7" max="7" width="14" customWidth="1"/>
  </cols>
  <sheetData>
    <row r="3" spans="1:11" x14ac:dyDescent="0.25">
      <c r="A3" s="4" t="s">
        <v>12</v>
      </c>
      <c r="B3" t="s">
        <v>14</v>
      </c>
    </row>
    <row r="4" spans="1:11" x14ac:dyDescent="0.25">
      <c r="A4" s="5" t="s">
        <v>59</v>
      </c>
      <c r="B4" s="7">
        <v>67</v>
      </c>
    </row>
    <row r="5" spans="1:11" x14ac:dyDescent="0.25">
      <c r="A5" s="6" t="s">
        <v>58</v>
      </c>
      <c r="B5" s="7">
        <v>67</v>
      </c>
    </row>
    <row r="6" spans="1:11" x14ac:dyDescent="0.25">
      <c r="A6" s="5" t="s">
        <v>60</v>
      </c>
      <c r="B6" s="7">
        <v>9</v>
      </c>
    </row>
    <row r="7" spans="1:11" x14ac:dyDescent="0.25">
      <c r="A7" s="6" t="s">
        <v>69</v>
      </c>
      <c r="B7" s="7">
        <v>9</v>
      </c>
    </row>
    <row r="8" spans="1:11" x14ac:dyDescent="0.25">
      <c r="A8" s="5" t="s">
        <v>57</v>
      </c>
      <c r="B8" s="7">
        <v>3</v>
      </c>
    </row>
    <row r="9" spans="1:11" x14ac:dyDescent="0.25">
      <c r="A9" s="6" t="s">
        <v>70</v>
      </c>
      <c r="B9" s="7">
        <v>3</v>
      </c>
    </row>
    <row r="10" spans="1:11" x14ac:dyDescent="0.25">
      <c r="A10" s="5" t="s">
        <v>13</v>
      </c>
      <c r="B10" s="7">
        <v>79</v>
      </c>
      <c r="K10">
        <f>0.15*100/1.34</f>
        <v>11.194029850746269</v>
      </c>
    </row>
    <row r="13" spans="1:11" ht="30" customHeight="1" x14ac:dyDescent="0.25">
      <c r="C13" s="21" t="s">
        <v>21</v>
      </c>
      <c r="D13" s="22" t="s">
        <v>22</v>
      </c>
      <c r="E13" s="22" t="s">
        <v>23</v>
      </c>
      <c r="F13" s="22" t="s">
        <v>24</v>
      </c>
      <c r="G13" s="23" t="s">
        <v>25</v>
      </c>
    </row>
    <row r="14" spans="1:11" x14ac:dyDescent="0.25">
      <c r="C14" s="9">
        <v>1</v>
      </c>
      <c r="D14" s="9" t="str">
        <f>A5</f>
        <v>Pino triste</v>
      </c>
      <c r="E14" s="10" t="str">
        <f>A4</f>
        <v>Pinus psudostrobus</v>
      </c>
      <c r="F14" s="11">
        <f>GETPIVOTDATA("No. Arbol",$A$3,"Especie","Pinus psudostrobus")</f>
        <v>67</v>
      </c>
      <c r="G14" s="12">
        <f>F14/F17*100</f>
        <v>84.810126582278471</v>
      </c>
    </row>
    <row r="15" spans="1:11" x14ac:dyDescent="0.25">
      <c r="C15" s="9">
        <v>2</v>
      </c>
      <c r="D15" s="9" t="str">
        <f>A7</f>
        <v xml:space="preserve">Chulube </v>
      </c>
      <c r="E15" s="10" t="str">
        <f>A6</f>
        <v>N.D</v>
      </c>
      <c r="F15" s="11">
        <f>GETPIVOTDATA("No. Arbol",$A$3,"Especie","N.D")</f>
        <v>9</v>
      </c>
      <c r="G15" s="12">
        <f>F15/F17*100</f>
        <v>11.39240506329114</v>
      </c>
    </row>
    <row r="16" spans="1:11" s="1" customFormat="1" x14ac:dyDescent="0.25">
      <c r="C16" s="9">
        <v>3</v>
      </c>
      <c r="D16" s="9" t="str">
        <f>A9</f>
        <v xml:space="preserve">Ciprés </v>
      </c>
      <c r="E16" s="10" t="str">
        <f>A8</f>
        <v>Cupresus lusitanica</v>
      </c>
      <c r="F16" s="11">
        <f>GETPIVOTDATA("No. Arbol",$A$3,"Especie","Cupresus lusitanica")</f>
        <v>3</v>
      </c>
      <c r="G16" s="12">
        <f>F16/F17*100</f>
        <v>3.79746835443038</v>
      </c>
    </row>
    <row r="17" spans="3:7" x14ac:dyDescent="0.25">
      <c r="C17" s="97" t="s">
        <v>26</v>
      </c>
      <c r="D17" s="97"/>
      <c r="E17" s="97"/>
      <c r="F17" s="24">
        <f>SUM(F14:F16)</f>
        <v>79</v>
      </c>
      <c r="G17" s="25">
        <f>F17/F17*100</f>
        <v>100</v>
      </c>
    </row>
  </sheetData>
  <mergeCells count="1">
    <mergeCell ref="C17:E17"/>
  </mergeCells>
  <pageMargins left="0.7" right="0.7" top="0.75" bottom="0.75" header="0.3" footer="0.3"/>
  <pageSetup paperSize="9" orientation="portrait" horizontalDpi="4294967293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8"/>
  <sheetViews>
    <sheetView workbookViewId="0">
      <selection activeCell="A5" sqref="A5"/>
    </sheetView>
  </sheetViews>
  <sheetFormatPr baseColWidth="10" defaultColWidth="11.42578125" defaultRowHeight="15" x14ac:dyDescent="0.25"/>
  <cols>
    <col min="1" max="1" width="18.42578125" customWidth="1"/>
    <col min="2" max="3" width="21.28515625" customWidth="1"/>
    <col min="4" max="4" width="22.140625" customWidth="1"/>
    <col min="5" max="5" width="15.140625" customWidth="1"/>
    <col min="6" max="6" width="21" customWidth="1"/>
    <col min="7" max="7" width="10.42578125" customWidth="1"/>
    <col min="8" max="8" width="10.28515625" customWidth="1"/>
    <col min="9" max="9" width="7.85546875" customWidth="1"/>
    <col min="10" max="10" width="8.85546875" customWidth="1"/>
  </cols>
  <sheetData>
    <row r="3" spans="1:12" x14ac:dyDescent="0.25">
      <c r="B3" s="4" t="s">
        <v>16</v>
      </c>
    </row>
    <row r="4" spans="1:12" x14ac:dyDescent="0.25">
      <c r="A4" s="4" t="s">
        <v>12</v>
      </c>
      <c r="B4" s="1" t="s">
        <v>15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12" x14ac:dyDescent="0.25">
      <c r="A5" s="5" t="s">
        <v>59</v>
      </c>
      <c r="B5" s="8">
        <v>268</v>
      </c>
      <c r="C5" s="3">
        <v>22.520895522388059</v>
      </c>
      <c r="D5" s="3">
        <v>14.08955223880597</v>
      </c>
      <c r="E5" s="3">
        <v>11.933044015200002</v>
      </c>
      <c r="F5" s="3">
        <v>67.491865461055994</v>
      </c>
    </row>
    <row r="6" spans="1:12" x14ac:dyDescent="0.25">
      <c r="A6" s="5" t="s">
        <v>60</v>
      </c>
      <c r="B6" s="8">
        <v>36</v>
      </c>
      <c r="C6" s="3">
        <v>22.877777777777776</v>
      </c>
      <c r="D6" s="3">
        <v>13.777777777777779</v>
      </c>
      <c r="E6" s="3">
        <v>1.6919809368000001</v>
      </c>
      <c r="F6" s="3">
        <v>18.707138059120002</v>
      </c>
    </row>
    <row r="7" spans="1:12" x14ac:dyDescent="0.25">
      <c r="A7" s="5" t="s">
        <v>57</v>
      </c>
      <c r="B7" s="8">
        <v>12</v>
      </c>
      <c r="C7" s="3">
        <v>33.633333333333333</v>
      </c>
      <c r="D7" s="3">
        <v>18.666666666666668</v>
      </c>
      <c r="E7" s="3">
        <v>1.1985235416</v>
      </c>
      <c r="F7" s="3">
        <v>9.1022092981919993</v>
      </c>
      <c r="L7">
        <f>2013-1977</f>
        <v>36</v>
      </c>
    </row>
    <row r="8" spans="1:12" x14ac:dyDescent="0.25">
      <c r="A8" s="5" t="s">
        <v>13</v>
      </c>
      <c r="B8" s="8">
        <v>316</v>
      </c>
      <c r="C8" s="3">
        <v>22.983544303797469</v>
      </c>
      <c r="D8" s="3">
        <v>14.227848101265822</v>
      </c>
      <c r="E8" s="3">
        <v>14.823548493600004</v>
      </c>
      <c r="F8" s="3">
        <v>95.301212818368001</v>
      </c>
    </row>
    <row r="12" spans="1:12" x14ac:dyDescent="0.25">
      <c r="B12" s="102" t="s">
        <v>27</v>
      </c>
      <c r="C12" s="102" t="s">
        <v>28</v>
      </c>
      <c r="D12" s="99" t="s">
        <v>3</v>
      </c>
      <c r="E12" s="98" t="s">
        <v>15</v>
      </c>
      <c r="F12" s="98" t="s">
        <v>17</v>
      </c>
      <c r="G12" s="98" t="s">
        <v>18</v>
      </c>
      <c r="H12" s="98" t="s">
        <v>19</v>
      </c>
      <c r="I12" s="99" t="s">
        <v>29</v>
      </c>
      <c r="J12" s="99"/>
    </row>
    <row r="13" spans="1:12" x14ac:dyDescent="0.25">
      <c r="B13" s="102"/>
      <c r="C13" s="102"/>
      <c r="D13" s="99"/>
      <c r="E13" s="98"/>
      <c r="F13" s="98"/>
      <c r="G13" s="98"/>
      <c r="H13" s="98"/>
      <c r="I13" s="20" t="s">
        <v>30</v>
      </c>
      <c r="J13" s="20" t="s">
        <v>27</v>
      </c>
    </row>
    <row r="14" spans="1:12" x14ac:dyDescent="0.25">
      <c r="B14" s="100">
        <v>1</v>
      </c>
      <c r="C14" s="101">
        <v>3.15</v>
      </c>
      <c r="D14" s="13" t="str">
        <f>A5</f>
        <v>Pinus psudostrobus</v>
      </c>
      <c r="E14" s="17">
        <f>GETPIVOTDATA("Suma de Densidad/Ha.",$A$3,"Especie","Pinus psudostrobus")</f>
        <v>268</v>
      </c>
      <c r="F14" s="14">
        <f>GETPIVOTDATA("Promedio de DAP (cm)",$A$3,"Especie","Pinus psudostrobus")</f>
        <v>22.520895522388059</v>
      </c>
      <c r="G14" s="14">
        <f>GETPIVOTDATA("Promedio de Altura (m)",$A$3,"Especie","Pinus psudostrobus")</f>
        <v>14.08955223880597</v>
      </c>
      <c r="H14" s="14">
        <f>GETPIVOTDATA("Suma de AB/Ha.",$A$3,"Especie","Pinus psudostrobus")</f>
        <v>11.933044015200002</v>
      </c>
      <c r="I14" s="14">
        <f>GETPIVOTDATA("Suma de Volumen/Ha.",$A$3,"Especie","Pinus psudostrobus")</f>
        <v>67.491865461055994</v>
      </c>
      <c r="J14" s="15">
        <f>I14*C14</f>
        <v>212.59937620232637</v>
      </c>
    </row>
    <row r="15" spans="1:12" x14ac:dyDescent="0.25">
      <c r="B15" s="100"/>
      <c r="C15" s="101"/>
      <c r="D15" s="13" t="str">
        <f>A6</f>
        <v>N.D</v>
      </c>
      <c r="E15" s="17">
        <f>GETPIVOTDATA("Suma de Densidad/Ha.",$A$3,"Especie","N.D")</f>
        <v>36</v>
      </c>
      <c r="F15" s="14">
        <f>GETPIVOTDATA("Promedio de DAP (cm)",$A$3,"Especie","N.D")</f>
        <v>22.877777777777776</v>
      </c>
      <c r="G15" s="14">
        <f>GETPIVOTDATA("Promedio de Altura (m)",$A$3,"Especie","Cupresus lusitanica")</f>
        <v>18.666666666666668</v>
      </c>
      <c r="H15" s="14">
        <f>GETPIVOTDATA("Suma de AB/Ha.",$A$3,"Especie","N.D")</f>
        <v>1.6919809368000001</v>
      </c>
      <c r="I15" s="14">
        <f>GETPIVOTDATA("Suma de Volumen/Ha.",$A$3,"Especie","N.D")</f>
        <v>18.707138059120002</v>
      </c>
      <c r="J15" s="15">
        <f>I15*C14</f>
        <v>58.927484886228001</v>
      </c>
    </row>
    <row r="16" spans="1:12" s="1" customFormat="1" x14ac:dyDescent="0.25">
      <c r="B16" s="100"/>
      <c r="C16" s="101"/>
      <c r="D16" s="13" t="str">
        <f>A7</f>
        <v>Cupresus lusitanica</v>
      </c>
      <c r="E16" s="17">
        <f>GETPIVOTDATA("Suma de Densidad/Ha.",$A$3,"Especie","Cupresus lusitanica")</f>
        <v>12</v>
      </c>
      <c r="F16" s="14">
        <f>GETPIVOTDATA("Promedio de DAP (cm)",$A$3,"Especie","Cupresus lusitanica")</f>
        <v>33.633333333333333</v>
      </c>
      <c r="G16" s="14">
        <f>GETPIVOTDATA("Promedio de Altura (m)",$A$3,"Especie","Cupresus lusitanica")</f>
        <v>18.666666666666668</v>
      </c>
      <c r="H16" s="14">
        <f>GETPIVOTDATA("Suma de AB/Ha.",$A$3,"Especie","Cupresus lusitanica")</f>
        <v>1.1985235416</v>
      </c>
      <c r="I16" s="14">
        <f>GETPIVOTDATA("Suma de Volumen/Ha.",$A$3,"Especie","Cupresus lusitanica")</f>
        <v>9.1022092981919993</v>
      </c>
      <c r="J16" s="60">
        <f>I16*C14</f>
        <v>28.671959289304798</v>
      </c>
    </row>
    <row r="17" spans="2:10" x14ac:dyDescent="0.25">
      <c r="B17" s="100"/>
      <c r="C17" s="101"/>
      <c r="D17" s="18" t="s">
        <v>13</v>
      </c>
      <c r="E17" s="19">
        <f>SUM(E14:E16)</f>
        <v>316</v>
      </c>
      <c r="F17" s="76">
        <f>GETPIVOTDATA("Promedio de DAP (cm)",$A$3)</f>
        <v>22.983544303797469</v>
      </c>
      <c r="G17" s="76">
        <f>GETPIVOTDATA("Promedio de Altura (m)",$A$3)</f>
        <v>14.227848101265822</v>
      </c>
      <c r="H17" s="76">
        <f>GETPIVOTDATA("Suma de AB/Ha.",$A$3)</f>
        <v>14.823548493600004</v>
      </c>
      <c r="I17" s="76">
        <f t="shared" ref="I17" si="0">SUM(I14:I16)</f>
        <v>95.301212818367986</v>
      </c>
      <c r="J17" s="78">
        <f>I17*C14</f>
        <v>300.19882037785914</v>
      </c>
    </row>
    <row r="18" spans="2:10" x14ac:dyDescent="0.25">
      <c r="J18" s="77"/>
    </row>
  </sheetData>
  <mergeCells count="10">
    <mergeCell ref="H12:H13"/>
    <mergeCell ref="I12:J12"/>
    <mergeCell ref="B14:B17"/>
    <mergeCell ref="C14:C17"/>
    <mergeCell ref="B12:B13"/>
    <mergeCell ref="C12:C13"/>
    <mergeCell ref="D12:D13"/>
    <mergeCell ref="E12:E13"/>
    <mergeCell ref="F12:F13"/>
    <mergeCell ref="G12:G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workbookViewId="0">
      <selection activeCell="F5" sqref="F5:F9"/>
    </sheetView>
  </sheetViews>
  <sheetFormatPr baseColWidth="10" defaultColWidth="11.42578125" defaultRowHeight="15" x14ac:dyDescent="0.25"/>
  <cols>
    <col min="1" max="1" width="18.140625" bestFit="1" customWidth="1"/>
    <col min="2" max="2" width="13" bestFit="1" customWidth="1"/>
    <col min="3" max="4" width="12.42578125" bestFit="1" customWidth="1"/>
    <col min="5" max="5" width="8.5703125" bestFit="1" customWidth="1"/>
    <col min="6" max="6" width="12.85546875" bestFit="1" customWidth="1"/>
    <col min="7" max="7" width="10.42578125" customWidth="1"/>
  </cols>
  <sheetData>
    <row r="2" spans="1:7" x14ac:dyDescent="0.25">
      <c r="F2" s="81"/>
    </row>
    <row r="3" spans="1:7" x14ac:dyDescent="0.25">
      <c r="B3" s="4" t="s">
        <v>16</v>
      </c>
    </row>
    <row r="4" spans="1:7" ht="30" x14ac:dyDescent="0.25">
      <c r="A4" s="51" t="s">
        <v>32</v>
      </c>
      <c r="B4" s="31" t="s">
        <v>15</v>
      </c>
      <c r="C4" s="31" t="s">
        <v>17</v>
      </c>
      <c r="D4" s="31" t="s">
        <v>18</v>
      </c>
      <c r="E4" s="31" t="s">
        <v>19</v>
      </c>
      <c r="F4" s="51" t="s">
        <v>20</v>
      </c>
      <c r="G4" s="23" t="s">
        <v>31</v>
      </c>
    </row>
    <row r="5" spans="1:7" x14ac:dyDescent="0.25">
      <c r="A5" s="50">
        <v>1</v>
      </c>
      <c r="B5" s="28">
        <v>68</v>
      </c>
      <c r="C5" s="29">
        <v>20.635294117647057</v>
      </c>
      <c r="D5" s="29">
        <v>15.411764705882353</v>
      </c>
      <c r="E5" s="29">
        <v>2.4664764431999999</v>
      </c>
      <c r="F5" s="49">
        <v>15.88688061024</v>
      </c>
      <c r="G5" s="30">
        <f>F5*3.15</f>
        <v>50.043673922255998</v>
      </c>
    </row>
    <row r="6" spans="1:7" x14ac:dyDescent="0.25">
      <c r="A6" s="50">
        <v>2</v>
      </c>
      <c r="B6" s="28">
        <v>56</v>
      </c>
      <c r="C6" s="29">
        <v>22.785714285714285</v>
      </c>
      <c r="D6" s="29">
        <v>13.642857142857142</v>
      </c>
      <c r="E6" s="29">
        <v>2.7467008800000006</v>
      </c>
      <c r="F6" s="49">
        <v>20.373829667199995</v>
      </c>
      <c r="G6" s="30">
        <f>F6*3.15</f>
        <v>64.177563451679987</v>
      </c>
    </row>
    <row r="7" spans="1:7" x14ac:dyDescent="0.25">
      <c r="A7" s="50">
        <v>3</v>
      </c>
      <c r="B7" s="28">
        <v>68</v>
      </c>
      <c r="C7" s="29">
        <v>25.188235294117646</v>
      </c>
      <c r="D7" s="29">
        <v>13.764705882352942</v>
      </c>
      <c r="E7" s="29">
        <v>3.5764602719999998</v>
      </c>
      <c r="F7" s="49">
        <v>19.253326092384</v>
      </c>
      <c r="G7" s="30">
        <f>F7*3.15</f>
        <v>60.647977191009602</v>
      </c>
    </row>
    <row r="8" spans="1:7" x14ac:dyDescent="0.25">
      <c r="A8" s="50">
        <v>4</v>
      </c>
      <c r="B8" s="28">
        <v>72</v>
      </c>
      <c r="C8" s="29">
        <v>20.816666666666666</v>
      </c>
      <c r="D8" s="29">
        <v>13</v>
      </c>
      <c r="E8" s="29">
        <v>2.6362704984000001</v>
      </c>
      <c r="F8" s="49">
        <v>16.127113181200002</v>
      </c>
      <c r="G8" s="82">
        <f>F8*3.15</f>
        <v>50.800406520780008</v>
      </c>
    </row>
    <row r="9" spans="1:7" x14ac:dyDescent="0.25">
      <c r="A9" s="50">
        <v>5</v>
      </c>
      <c r="B9" s="28">
        <v>52</v>
      </c>
      <c r="C9" s="29">
        <v>26.384615384615383</v>
      </c>
      <c r="D9" s="29">
        <v>15.615384615384615</v>
      </c>
      <c r="E9" s="29">
        <v>3.3976404000000002</v>
      </c>
      <c r="F9" s="49">
        <v>23.660063267344</v>
      </c>
      <c r="G9" s="80">
        <f>F9*3.15</f>
        <v>74.529199292133598</v>
      </c>
    </row>
    <row r="10" spans="1:7" x14ac:dyDescent="0.25">
      <c r="A10" s="53" t="s">
        <v>13</v>
      </c>
      <c r="B10" s="32">
        <v>316</v>
      </c>
      <c r="C10" s="33">
        <v>22.983544303797466</v>
      </c>
      <c r="D10" s="33">
        <v>14.227848101265822</v>
      </c>
      <c r="E10" s="33">
        <v>14.823548493600004</v>
      </c>
      <c r="F10" s="52">
        <v>95.301212818368001</v>
      </c>
      <c r="G10" s="34">
        <f>GETPIVOTDATA("Suma de Volumen/Ha.",$A$3)*3.15</f>
        <v>300.19882037785919</v>
      </c>
    </row>
    <row r="11" spans="1:7" x14ac:dyDescent="0.25">
      <c r="G11" s="79"/>
    </row>
  </sheetData>
  <pageMargins left="0.7" right="0.7" top="0.75" bottom="0.75" header="0.3" footer="0.3"/>
  <pageSetup orientation="portrait" horizontalDpi="4294967293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topLeftCell="A14" workbookViewId="0">
      <selection activeCell="H21" sqref="H21"/>
    </sheetView>
  </sheetViews>
  <sheetFormatPr baseColWidth="10" defaultColWidth="11.42578125" defaultRowHeight="15" x14ac:dyDescent="0.25"/>
  <cols>
    <col min="1" max="1" width="20.28515625" customWidth="1"/>
    <col min="2" max="4" width="12.42578125" bestFit="1" customWidth="1"/>
    <col min="5" max="5" width="8.5703125" bestFit="1" customWidth="1"/>
    <col min="6" max="6" width="12.85546875" bestFit="1" customWidth="1"/>
    <col min="7" max="7" width="10.42578125" customWidth="1"/>
  </cols>
  <sheetData>
    <row r="3" spans="1:8" x14ac:dyDescent="0.25">
      <c r="B3" s="4" t="s">
        <v>16</v>
      </c>
    </row>
    <row r="4" spans="1:8" ht="45" x14ac:dyDescent="0.25">
      <c r="A4" s="51" t="s">
        <v>34</v>
      </c>
      <c r="B4" s="31" t="s">
        <v>15</v>
      </c>
      <c r="C4" s="31" t="s">
        <v>17</v>
      </c>
      <c r="D4" s="31" t="s">
        <v>18</v>
      </c>
      <c r="E4" s="31" t="s">
        <v>19</v>
      </c>
      <c r="F4" s="51" t="s">
        <v>20</v>
      </c>
      <c r="G4" s="35" t="s">
        <v>33</v>
      </c>
    </row>
    <row r="5" spans="1:8" x14ac:dyDescent="0.25">
      <c r="A5" s="47" t="s">
        <v>59</v>
      </c>
      <c r="B5" s="26">
        <v>268</v>
      </c>
      <c r="C5" s="27">
        <v>22.520895522388059</v>
      </c>
      <c r="D5" s="27">
        <v>14.08955223880597</v>
      </c>
      <c r="E5" s="27">
        <v>11.933044015200002</v>
      </c>
      <c r="F5" s="48">
        <v>67.49186546105598</v>
      </c>
      <c r="G5" s="16">
        <f t="shared" ref="G5:G10" si="0">F5*3.15</f>
        <v>212.59937620232634</v>
      </c>
    </row>
    <row r="6" spans="1:8" x14ac:dyDescent="0.25">
      <c r="A6" s="6" t="s">
        <v>52</v>
      </c>
      <c r="B6" s="26">
        <v>104</v>
      </c>
      <c r="C6" s="27">
        <v>16.084615384615386</v>
      </c>
      <c r="D6" s="27">
        <v>12.653846153846153</v>
      </c>
      <c r="E6" s="27">
        <v>2.1430487232000006</v>
      </c>
      <c r="F6" s="48">
        <v>10.590903889072003</v>
      </c>
      <c r="G6" s="85">
        <f t="shared" si="0"/>
        <v>33.361347250576806</v>
      </c>
    </row>
    <row r="7" spans="1:8" x14ac:dyDescent="0.25">
      <c r="A7" s="6" t="s">
        <v>53</v>
      </c>
      <c r="B7" s="26">
        <v>100</v>
      </c>
      <c r="C7" s="27">
        <v>23.748000000000001</v>
      </c>
      <c r="D7" s="27">
        <v>14.12</v>
      </c>
      <c r="E7" s="27">
        <v>4.4747850840000005</v>
      </c>
      <c r="F7" s="48">
        <v>23.653682295471995</v>
      </c>
      <c r="G7" s="85">
        <f t="shared" si="0"/>
        <v>74.50909923073678</v>
      </c>
    </row>
    <row r="8" spans="1:8" x14ac:dyDescent="0.25">
      <c r="A8" s="6" t="s">
        <v>61</v>
      </c>
      <c r="B8" s="26">
        <v>36</v>
      </c>
      <c r="C8" s="27">
        <v>34.277777777777779</v>
      </c>
      <c r="D8" s="27">
        <v>16.555555555555557</v>
      </c>
      <c r="E8" s="27">
        <v>3.3466051079999994</v>
      </c>
      <c r="F8" s="48">
        <v>20.324689254511998</v>
      </c>
      <c r="G8" s="85">
        <f t="shared" si="0"/>
        <v>64.022771151712789</v>
      </c>
    </row>
    <row r="9" spans="1:8" x14ac:dyDescent="0.25">
      <c r="A9" s="6" t="s">
        <v>62</v>
      </c>
      <c r="B9" s="26">
        <v>12</v>
      </c>
      <c r="C9" s="27">
        <v>41.833333333333336</v>
      </c>
      <c r="D9" s="27">
        <v>18.333333333333332</v>
      </c>
      <c r="E9" s="27">
        <v>1.6541309399999999</v>
      </c>
      <c r="F9" s="48">
        <v>11.171662879599999</v>
      </c>
      <c r="G9" s="85">
        <f t="shared" si="0"/>
        <v>35.190738070739997</v>
      </c>
    </row>
    <row r="10" spans="1:8" x14ac:dyDescent="0.25">
      <c r="A10" s="6" t="s">
        <v>71</v>
      </c>
      <c r="B10" s="26">
        <v>4</v>
      </c>
      <c r="C10" s="27">
        <v>18</v>
      </c>
      <c r="D10" s="27">
        <v>15</v>
      </c>
      <c r="E10" s="27">
        <v>0.10178783999999999</v>
      </c>
      <c r="F10" s="48">
        <v>0.57640979520000002</v>
      </c>
      <c r="G10" s="86">
        <f t="shared" si="0"/>
        <v>1.8156908548799999</v>
      </c>
    </row>
    <row r="11" spans="1:8" x14ac:dyDescent="0.25">
      <c r="A11" s="6" t="s">
        <v>72</v>
      </c>
      <c r="B11" s="26">
        <v>4</v>
      </c>
      <c r="C11" s="27">
        <v>15</v>
      </c>
      <c r="D11" s="27">
        <v>16</v>
      </c>
      <c r="E11" s="27">
        <v>7.0685999999999999E-2</v>
      </c>
      <c r="F11" s="48">
        <v>0.4322395872</v>
      </c>
      <c r="G11" s="85">
        <f>GETPIVOTDATA("Suma de Volumen/Ha.",$A$3,"Especie","N.D","Clase diámetrica","10 - 19.9")*3.15</f>
        <v>16.186498046460002</v>
      </c>
      <c r="H11" s="55"/>
    </row>
    <row r="12" spans="1:8" x14ac:dyDescent="0.25">
      <c r="A12" s="6" t="s">
        <v>73</v>
      </c>
      <c r="B12" s="26">
        <v>4</v>
      </c>
      <c r="C12" s="27">
        <v>16</v>
      </c>
      <c r="D12" s="27">
        <v>14</v>
      </c>
      <c r="E12" s="27">
        <v>8.0424960000000004E-2</v>
      </c>
      <c r="F12" s="48">
        <v>0.43040885439999998</v>
      </c>
      <c r="G12" s="85">
        <f>GETPIVOTDATA("Suma de Volumen/Ha.",$A$3,"Especie","N.D","Clase diámetrica","20 - 29.9")*3.15</f>
        <v>15.667266266568001</v>
      </c>
      <c r="H12" s="55"/>
    </row>
    <row r="13" spans="1:8" x14ac:dyDescent="0.25">
      <c r="A13" s="6" t="s">
        <v>74</v>
      </c>
      <c r="B13" s="26">
        <v>4</v>
      </c>
      <c r="C13" s="27">
        <v>14</v>
      </c>
      <c r="D13" s="27">
        <v>13</v>
      </c>
      <c r="E13" s="27">
        <v>6.157536000000001E-2</v>
      </c>
      <c r="F13" s="48">
        <v>0.31186890560000002</v>
      </c>
      <c r="G13" s="85">
        <f t="shared" ref="G13:G18" si="1">F13*3.15</f>
        <v>0.98238705264000004</v>
      </c>
      <c r="H13" s="55"/>
    </row>
    <row r="14" spans="1:8" x14ac:dyDescent="0.25">
      <c r="A14" s="47" t="s">
        <v>60</v>
      </c>
      <c r="B14" s="26">
        <v>36</v>
      </c>
      <c r="C14" s="27">
        <v>22.87777777777778</v>
      </c>
      <c r="D14" s="27">
        <v>13.777777777777779</v>
      </c>
      <c r="E14" s="27">
        <v>1.6919809367999998</v>
      </c>
      <c r="F14" s="48">
        <v>18.707138059120002</v>
      </c>
      <c r="G14" s="85">
        <f t="shared" si="1"/>
        <v>58.927484886228001</v>
      </c>
      <c r="H14" s="55"/>
    </row>
    <row r="15" spans="1:8" x14ac:dyDescent="0.25">
      <c r="A15" s="6" t="s">
        <v>52</v>
      </c>
      <c r="B15" s="26">
        <v>20</v>
      </c>
      <c r="C15" s="27">
        <v>16.34</v>
      </c>
      <c r="D15" s="27">
        <v>11.8</v>
      </c>
      <c r="E15" s="27">
        <v>0.42364161840000003</v>
      </c>
      <c r="F15" s="48">
        <v>5.1385708084000008</v>
      </c>
      <c r="G15" s="16">
        <f t="shared" si="1"/>
        <v>16.186498046460002</v>
      </c>
      <c r="H15" s="55"/>
    </row>
    <row r="16" spans="1:8" x14ac:dyDescent="0.25">
      <c r="A16" s="6" t="s">
        <v>53</v>
      </c>
      <c r="B16" s="26">
        <v>8</v>
      </c>
      <c r="C16" s="27">
        <v>25.1</v>
      </c>
      <c r="D16" s="27">
        <v>17.5</v>
      </c>
      <c r="E16" s="27">
        <v>0.3981161184</v>
      </c>
      <c r="F16" s="48">
        <v>4.9737353227200005</v>
      </c>
      <c r="G16" s="85">
        <f t="shared" si="1"/>
        <v>15.667266266568001</v>
      </c>
    </row>
    <row r="17" spans="1:7" x14ac:dyDescent="0.25">
      <c r="A17" s="6" t="s">
        <v>61</v>
      </c>
      <c r="B17" s="26">
        <v>4</v>
      </c>
      <c r="C17" s="27">
        <v>33</v>
      </c>
      <c r="D17" s="27">
        <v>15</v>
      </c>
      <c r="E17" s="27">
        <v>0.34212024000000002</v>
      </c>
      <c r="F17" s="48">
        <v>3.4715937240000003</v>
      </c>
      <c r="G17" s="85">
        <f t="shared" si="1"/>
        <v>10.9355202306</v>
      </c>
    </row>
    <row r="18" spans="1:7" x14ac:dyDescent="0.25">
      <c r="A18" s="6" t="s">
        <v>62</v>
      </c>
      <c r="B18" s="26">
        <v>4</v>
      </c>
      <c r="C18" s="27">
        <v>41</v>
      </c>
      <c r="D18" s="27">
        <v>15</v>
      </c>
      <c r="E18" s="27">
        <v>0.5281029599999999</v>
      </c>
      <c r="F18" s="48">
        <v>5.1232382039999997</v>
      </c>
      <c r="G18" s="84">
        <f t="shared" si="1"/>
        <v>16.138200342599998</v>
      </c>
    </row>
    <row r="19" spans="1:7" x14ac:dyDescent="0.25">
      <c r="A19" s="47" t="s">
        <v>57</v>
      </c>
      <c r="B19" s="26">
        <v>12</v>
      </c>
      <c r="C19" s="27">
        <v>33.633333333333333</v>
      </c>
      <c r="D19" s="27">
        <v>18.666666666666668</v>
      </c>
      <c r="E19" s="27">
        <v>1.1985235416</v>
      </c>
      <c r="F19" s="48">
        <v>9.1022092981919993</v>
      </c>
      <c r="G19" s="88">
        <f>GETPIVOTDATA("Suma de Volumen/Ha.",$A$3,"Especie","Cupresus lusitanica")*3.15</f>
        <v>28.671959289304798</v>
      </c>
    </row>
    <row r="20" spans="1:7" x14ac:dyDescent="0.25">
      <c r="A20" s="6" t="s">
        <v>53</v>
      </c>
      <c r="B20" s="26">
        <v>8</v>
      </c>
      <c r="C20" s="27">
        <v>25.5</v>
      </c>
      <c r="D20" s="27">
        <v>17</v>
      </c>
      <c r="E20" s="27">
        <v>0.41626199999999997</v>
      </c>
      <c r="F20" s="48">
        <v>2.7128188775999997</v>
      </c>
      <c r="G20" s="27">
        <f>GETPIVOTDATA("Suma de Volumen/Ha.",$A$3,"Especie","Cupresus lusitanica","Clase diámetrica","20 - 29.9")*3.15</f>
        <v>8.5453794644399981</v>
      </c>
    </row>
    <row r="21" spans="1:7" x14ac:dyDescent="0.25">
      <c r="A21" s="6" t="s">
        <v>62</v>
      </c>
      <c r="B21" s="26">
        <v>4</v>
      </c>
      <c r="C21" s="27">
        <v>49.9</v>
      </c>
      <c r="D21" s="27">
        <v>22</v>
      </c>
      <c r="E21" s="27">
        <v>0.78226154159999994</v>
      </c>
      <c r="F21" s="48">
        <v>6.3893904205919991</v>
      </c>
      <c r="G21" s="27">
        <f>GETPIVOTDATA("Suma de Volumen/Ha.",$A$3,"Especie","Cupresus lusitanica","Clase diámetrica","40 - 49.9")*3.15</f>
        <v>20.126579824864798</v>
      </c>
    </row>
    <row r="22" spans="1:7" x14ac:dyDescent="0.25">
      <c r="A22" s="54" t="s">
        <v>13</v>
      </c>
      <c r="B22" s="45">
        <v>316</v>
      </c>
      <c r="C22" s="46">
        <v>22.983544303797473</v>
      </c>
      <c r="D22" s="46">
        <v>14.227848101265822</v>
      </c>
      <c r="E22" s="46">
        <v>14.823548493600004</v>
      </c>
      <c r="F22" s="83">
        <v>95.301212818367986</v>
      </c>
      <c r="G22" s="87">
        <f>GETPIVOTDATA("Suma de Volumen/Ha.",$A$3)*3.15</f>
        <v>300.19882037785914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6"/>
  <sheetViews>
    <sheetView topLeftCell="A2" workbookViewId="0">
      <selection activeCell="H5" sqref="H5"/>
    </sheetView>
  </sheetViews>
  <sheetFormatPr baseColWidth="10" defaultColWidth="11.42578125" defaultRowHeight="15" x14ac:dyDescent="0.25"/>
  <cols>
    <col min="5" max="5" width="21.140625" customWidth="1"/>
    <col min="6" max="6" width="12.85546875" customWidth="1"/>
  </cols>
  <sheetData>
    <row r="3" spans="2:6" x14ac:dyDescent="0.25">
      <c r="B3" s="103" t="s">
        <v>35</v>
      </c>
      <c r="C3" s="103"/>
      <c r="D3" s="36" t="s">
        <v>36</v>
      </c>
      <c r="E3" s="36" t="s">
        <v>37</v>
      </c>
      <c r="F3" s="37" t="s">
        <v>38</v>
      </c>
    </row>
    <row r="4" spans="2:6" x14ac:dyDescent="0.25">
      <c r="B4" s="103"/>
      <c r="C4" s="103"/>
      <c r="D4" s="38">
        <v>3.15</v>
      </c>
      <c r="E4" s="38">
        <v>2.1320000000000001</v>
      </c>
      <c r="F4" s="38">
        <v>5</v>
      </c>
    </row>
    <row r="5" spans="2:6" x14ac:dyDescent="0.25">
      <c r="B5" s="36" t="s">
        <v>39</v>
      </c>
      <c r="C5" s="36" t="s">
        <v>40</v>
      </c>
      <c r="D5" s="36" t="s">
        <v>41</v>
      </c>
      <c r="E5" s="36" t="s">
        <v>42</v>
      </c>
      <c r="F5" s="36" t="s">
        <v>43</v>
      </c>
    </row>
    <row r="6" spans="2:6" x14ac:dyDescent="0.25">
      <c r="B6" s="36">
        <v>1</v>
      </c>
      <c r="C6" s="49">
        <v>15.88688061024</v>
      </c>
      <c r="D6" s="39">
        <f>C6*C6</f>
        <v>252.39297552401968</v>
      </c>
      <c r="E6" s="36" t="s">
        <v>44</v>
      </c>
      <c r="F6" s="40">
        <f>C16/F4</f>
        <v>19.060242563673601</v>
      </c>
    </row>
    <row r="7" spans="2:6" x14ac:dyDescent="0.25">
      <c r="B7" s="36">
        <v>2</v>
      </c>
      <c r="C7" s="49">
        <v>20.373829667199995</v>
      </c>
      <c r="D7" s="39">
        <f>C7*C7</f>
        <v>415.09293530807867</v>
      </c>
      <c r="E7" s="36" t="s">
        <v>45</v>
      </c>
      <c r="F7" s="41">
        <f>(((D16)-((C16*C16)/F4))/(F4-1))</f>
        <v>10.398654223838776</v>
      </c>
    </row>
    <row r="8" spans="2:6" x14ac:dyDescent="0.25">
      <c r="B8" s="36">
        <v>3</v>
      </c>
      <c r="C8" s="49">
        <v>19.253326092384</v>
      </c>
      <c r="D8" s="39">
        <f>C8*C8</f>
        <v>370.69056561967454</v>
      </c>
      <c r="E8" s="36" t="s">
        <v>46</v>
      </c>
      <c r="F8" s="41">
        <f>SQRT(F7)</f>
        <v>3.2246944388327363</v>
      </c>
    </row>
    <row r="9" spans="2:6" x14ac:dyDescent="0.25">
      <c r="B9" s="36">
        <v>4</v>
      </c>
      <c r="C9" s="49">
        <v>16.127113181200002</v>
      </c>
      <c r="D9" s="39">
        <f t="shared" ref="D9:D15" si="0">C9*C9</f>
        <v>260.08377955923487</v>
      </c>
      <c r="E9" s="36" t="s">
        <v>47</v>
      </c>
      <c r="F9" s="41">
        <f>SQRT(((F7)/F4)*(1-((F4)/(D4*10))))</f>
        <v>1.32273006984107</v>
      </c>
    </row>
    <row r="10" spans="2:6" x14ac:dyDescent="0.25">
      <c r="B10" s="61">
        <v>5</v>
      </c>
      <c r="C10" s="49">
        <v>23.660063267344</v>
      </c>
      <c r="D10" s="39">
        <f t="shared" si="0"/>
        <v>559.7985938147209</v>
      </c>
      <c r="E10" s="36" t="s">
        <v>48</v>
      </c>
      <c r="F10" s="41">
        <f>F9*E4</f>
        <v>2.8200605089011614</v>
      </c>
    </row>
    <row r="11" spans="2:6" x14ac:dyDescent="0.25">
      <c r="B11" s="61"/>
      <c r="C11" s="49"/>
      <c r="D11" s="39">
        <f t="shared" si="0"/>
        <v>0</v>
      </c>
      <c r="E11" s="36" t="s">
        <v>48</v>
      </c>
      <c r="F11" s="43">
        <f>((F10)/F6)</f>
        <v>0.14795512173994252</v>
      </c>
    </row>
    <row r="12" spans="2:6" x14ac:dyDescent="0.25">
      <c r="B12" s="36"/>
      <c r="C12" s="42"/>
      <c r="D12" s="39">
        <f t="shared" si="0"/>
        <v>0</v>
      </c>
      <c r="E12" s="36" t="s">
        <v>49</v>
      </c>
      <c r="F12" s="41">
        <f>F6+F10</f>
        <v>21.880303072574762</v>
      </c>
    </row>
    <row r="13" spans="2:6" x14ac:dyDescent="0.25">
      <c r="B13" s="36"/>
      <c r="C13" s="42"/>
      <c r="D13" s="39">
        <f t="shared" si="0"/>
        <v>0</v>
      </c>
      <c r="E13" s="36" t="s">
        <v>50</v>
      </c>
      <c r="F13" s="41">
        <f>F6-F10</f>
        <v>16.24018205477244</v>
      </c>
    </row>
    <row r="14" spans="2:6" x14ac:dyDescent="0.25">
      <c r="B14" s="36"/>
      <c r="C14" s="42"/>
      <c r="D14" s="39">
        <f t="shared" si="0"/>
        <v>0</v>
      </c>
      <c r="E14" s="36"/>
      <c r="F14" s="41"/>
    </row>
    <row r="15" spans="2:6" x14ac:dyDescent="0.25">
      <c r="B15" s="36"/>
      <c r="C15" s="42"/>
      <c r="D15" s="39">
        <f t="shared" si="0"/>
        <v>0</v>
      </c>
      <c r="E15" s="36"/>
      <c r="F15" s="41"/>
    </row>
    <row r="16" spans="2:6" x14ac:dyDescent="0.25">
      <c r="B16" s="36" t="s">
        <v>51</v>
      </c>
      <c r="C16" s="44">
        <f>SUM(C6:C15)</f>
        <v>95.301212818368001</v>
      </c>
      <c r="D16" s="44">
        <f>SUM(D6:D15)</f>
        <v>1858.0588498257289</v>
      </c>
      <c r="E16" s="36"/>
      <c r="F16" s="36"/>
    </row>
  </sheetData>
  <mergeCells count="1">
    <mergeCell ref="B3:C4"/>
  </mergeCell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baseColWidth="10" defaultColWidth="11.42578125" defaultRowHeight="15" x14ac:dyDescent="0.25"/>
  <sheetData>
    <row r="1" spans="1:3" x14ac:dyDescent="0.25">
      <c r="A1" s="89" t="s">
        <v>21</v>
      </c>
      <c r="B1" s="89" t="s">
        <v>76</v>
      </c>
      <c r="C1" s="89" t="s">
        <v>77</v>
      </c>
    </row>
    <row r="2" spans="1:3" x14ac:dyDescent="0.25">
      <c r="A2" s="91">
        <v>1</v>
      </c>
      <c r="B2" s="26">
        <v>391821</v>
      </c>
      <c r="C2" s="26">
        <v>1724857</v>
      </c>
    </row>
    <row r="3" spans="1:3" x14ac:dyDescent="0.25">
      <c r="A3" s="91">
        <v>2</v>
      </c>
      <c r="B3" s="26">
        <v>392136</v>
      </c>
      <c r="C3" s="26">
        <v>1725277</v>
      </c>
    </row>
    <row r="4" spans="1:3" x14ac:dyDescent="0.25">
      <c r="A4" s="91">
        <v>3</v>
      </c>
      <c r="B4" s="26">
        <v>392170</v>
      </c>
      <c r="C4" s="26">
        <v>1725204</v>
      </c>
    </row>
    <row r="5" spans="1:3" x14ac:dyDescent="0.25">
      <c r="A5" s="91">
        <v>4</v>
      </c>
      <c r="B5" s="26">
        <v>391845</v>
      </c>
      <c r="C5" s="26">
        <v>1724820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E4" sqref="E4"/>
    </sheetView>
  </sheetViews>
  <sheetFormatPr baseColWidth="10" defaultColWidth="11.42578125" defaultRowHeight="15" x14ac:dyDescent="0.25"/>
  <cols>
    <col min="1" max="1" width="11.42578125" style="1"/>
    <col min="8" max="8" width="24.85546875" bestFit="1" customWidth="1"/>
  </cols>
  <sheetData>
    <row r="1" spans="1:11" x14ac:dyDescent="0.25">
      <c r="A1" s="95" t="s">
        <v>83</v>
      </c>
      <c r="B1" s="92" t="s">
        <v>21</v>
      </c>
      <c r="C1" s="92" t="s">
        <v>76</v>
      </c>
      <c r="D1" s="92" t="s">
        <v>77</v>
      </c>
      <c r="E1" s="94" t="s">
        <v>79</v>
      </c>
      <c r="F1" s="94" t="s">
        <v>80</v>
      </c>
      <c r="G1" s="94" t="s">
        <v>81</v>
      </c>
      <c r="H1" s="95" t="s">
        <v>84</v>
      </c>
      <c r="I1" s="95" t="s">
        <v>85</v>
      </c>
      <c r="J1" s="95" t="s">
        <v>86</v>
      </c>
      <c r="K1" s="94" t="s">
        <v>82</v>
      </c>
    </row>
    <row r="2" spans="1:11" x14ac:dyDescent="0.25">
      <c r="A2" s="96" t="s">
        <v>87</v>
      </c>
      <c r="B2" s="92">
        <v>1</v>
      </c>
      <c r="C2" s="69">
        <v>391847</v>
      </c>
      <c r="D2" s="93">
        <v>1724880</v>
      </c>
      <c r="E2">
        <f>500/10000</f>
        <v>0.05</v>
      </c>
      <c r="G2" s="81">
        <v>41306</v>
      </c>
      <c r="K2" t="s">
        <v>78</v>
      </c>
    </row>
    <row r="3" spans="1:11" x14ac:dyDescent="0.25">
      <c r="A3" s="96" t="s">
        <v>87</v>
      </c>
      <c r="B3" s="92">
        <v>2</v>
      </c>
      <c r="C3" s="69">
        <v>391892</v>
      </c>
      <c r="D3" s="93">
        <v>1724932</v>
      </c>
      <c r="E3" s="1">
        <f t="shared" ref="E3:E6" si="0">500/10000</f>
        <v>0.05</v>
      </c>
      <c r="G3" s="81">
        <v>41306</v>
      </c>
      <c r="K3" s="1" t="s">
        <v>78</v>
      </c>
    </row>
    <row r="4" spans="1:11" x14ac:dyDescent="0.25">
      <c r="A4" s="96" t="s">
        <v>87</v>
      </c>
      <c r="B4" s="92">
        <v>3</v>
      </c>
      <c r="C4" s="69">
        <v>391919</v>
      </c>
      <c r="D4" s="93">
        <v>1724959</v>
      </c>
      <c r="E4" s="1">
        <f t="shared" si="0"/>
        <v>0.05</v>
      </c>
      <c r="G4" s="81">
        <v>41306</v>
      </c>
      <c r="K4" s="1" t="s">
        <v>78</v>
      </c>
    </row>
    <row r="5" spans="1:11" x14ac:dyDescent="0.25">
      <c r="A5" s="96" t="s">
        <v>87</v>
      </c>
      <c r="B5" s="92">
        <v>4</v>
      </c>
      <c r="C5" s="69">
        <v>391985</v>
      </c>
      <c r="D5" s="93">
        <v>1725025</v>
      </c>
      <c r="E5" s="1">
        <f t="shared" si="0"/>
        <v>0.05</v>
      </c>
      <c r="G5" s="81">
        <v>41306</v>
      </c>
      <c r="K5" s="1" t="s">
        <v>78</v>
      </c>
    </row>
    <row r="6" spans="1:11" x14ac:dyDescent="0.25">
      <c r="A6" s="96" t="s">
        <v>87</v>
      </c>
      <c r="B6" s="91">
        <v>5</v>
      </c>
      <c r="C6" s="69">
        <v>392124</v>
      </c>
      <c r="D6" s="93">
        <v>1725235</v>
      </c>
      <c r="E6" s="1">
        <f t="shared" si="0"/>
        <v>0.05</v>
      </c>
      <c r="G6" s="81">
        <v>41306</v>
      </c>
      <c r="K6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base de datos</vt:lpstr>
      <vt:lpstr>% de abundancia</vt:lpstr>
      <vt:lpstr>cuadro 3</vt:lpstr>
      <vt:lpstr>anexo 2</vt:lpstr>
      <vt:lpstr>anexo 3</vt:lpstr>
      <vt:lpstr>analisis</vt:lpstr>
      <vt:lpstr>P. referencia</vt:lpstr>
      <vt:lpstr>Parcelas</vt:lpstr>
    </vt:vector>
  </TitlesOfParts>
  <Company>Luffi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DangerGo</cp:lastModifiedBy>
  <cp:lastPrinted>2013-10-30T04:25:04Z</cp:lastPrinted>
  <dcterms:created xsi:type="dcterms:W3CDTF">2013-02-20T15:36:32Z</dcterms:created>
  <dcterms:modified xsi:type="dcterms:W3CDTF">2017-03-27T00:03:46Z</dcterms:modified>
</cp:coreProperties>
</file>