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6750" yWindow="105" windowWidth="14805" windowHeight="8010" tabRatio="861" activeTab="4"/>
  </bookViews>
  <sheets>
    <sheet name="INICIO" sheetId="5" r:id="rId1"/>
    <sheet name="1BASE" sheetId="1" r:id="rId2"/>
    <sheet name="2BASE" sheetId="2" r:id="rId3"/>
    <sheet name="3PIVOT" sheetId="7" r:id="rId4"/>
    <sheet name="4FINAL" sheetId="8" r:id="rId5"/>
  </sheets>
  <externalReferences>
    <externalReference r:id="rId6"/>
  </externalReferences>
  <definedNames>
    <definedName name="_xlnm._FilterDatabase" localSheetId="2" hidden="1">'2BASE'!$A$1:$AM$233</definedName>
    <definedName name="_xlcn.WorksheetConnection_Parcel3PivotF34G541" hidden="1">[1]Parcel3Pivot!$G$34:$H$54</definedName>
  </definedNames>
  <calcPr calcId="162913"/>
  <pivotCaches>
    <pivotCache cacheId="66" r:id="rId7"/>
  </pivotCaches>
  <extLst>
    <ext xmlns:x15="http://schemas.microsoft.com/office/spreadsheetml/2010/11/main" uri="{FCE2AD5D-F65C-4FA6-A056-5C36A1767C68}">
      <x15:dataModel>
        <x15:modelTables>
          <x15:modelTable id="Rango-11050baa-79fa-47a2-b3bc-feae943bf055" name="Rango" connection="WorksheetConnection_Parcel3Pivot!$F$34:$G$54"/>
        </x15:modelTables>
      </x15:dataModel>
    </ext>
  </extLst>
</workbook>
</file>

<file path=xl/calcChain.xml><?xml version="1.0" encoding="utf-8"?>
<calcChain xmlns="http://schemas.openxmlformats.org/spreadsheetml/2006/main">
  <c r="AL233" i="2" l="1"/>
  <c r="AK233" i="2"/>
  <c r="AL232" i="2"/>
  <c r="AK232" i="2"/>
  <c r="AL231" i="2"/>
  <c r="AK231" i="2"/>
  <c r="AL230" i="2"/>
  <c r="AK230" i="2"/>
  <c r="AL229" i="2"/>
  <c r="AK229" i="2"/>
  <c r="AL228" i="2"/>
  <c r="AK228" i="2"/>
  <c r="AL227" i="2"/>
  <c r="AK227" i="2"/>
  <c r="AL226" i="2"/>
  <c r="AK226" i="2"/>
  <c r="AL225" i="2"/>
  <c r="AK225" i="2"/>
  <c r="AL224" i="2"/>
  <c r="AK224" i="2"/>
  <c r="AL223" i="2"/>
  <c r="AK223" i="2"/>
  <c r="AL222" i="2"/>
  <c r="AK222" i="2"/>
  <c r="AL221" i="2"/>
  <c r="AK221" i="2"/>
  <c r="AL220" i="2"/>
  <c r="AK220" i="2"/>
  <c r="AL219" i="2"/>
  <c r="AK219" i="2"/>
  <c r="AL218" i="2"/>
  <c r="AK218" i="2"/>
  <c r="AL217" i="2"/>
  <c r="AK217" i="2"/>
  <c r="AL216" i="2"/>
  <c r="AK216" i="2"/>
  <c r="AL215" i="2"/>
  <c r="AK215" i="2"/>
  <c r="AL214" i="2"/>
  <c r="AK214" i="2"/>
  <c r="AL213" i="2"/>
  <c r="AK213" i="2"/>
  <c r="AL212" i="2"/>
  <c r="AK212" i="2"/>
  <c r="AL211" i="2"/>
  <c r="AK211" i="2"/>
  <c r="AL210" i="2"/>
  <c r="AK210" i="2"/>
  <c r="AL209" i="2"/>
  <c r="AK209" i="2"/>
  <c r="AL208" i="2"/>
  <c r="AK208" i="2"/>
  <c r="AL207" i="2"/>
  <c r="AK207" i="2"/>
  <c r="AL206" i="2"/>
  <c r="AK206" i="2"/>
  <c r="AL205" i="2"/>
  <c r="AK205" i="2"/>
  <c r="AL204" i="2"/>
  <c r="AK204" i="2"/>
  <c r="AL203" i="2"/>
  <c r="AK203" i="2"/>
  <c r="AL202" i="2"/>
  <c r="AK202" i="2"/>
  <c r="AL201" i="2"/>
  <c r="AK201" i="2"/>
  <c r="AL200" i="2"/>
  <c r="AK200" i="2"/>
  <c r="AL199" i="2"/>
  <c r="AK199" i="2"/>
  <c r="AL198" i="2"/>
  <c r="AK198" i="2"/>
  <c r="AL197" i="2"/>
  <c r="AK197" i="2"/>
  <c r="AL196" i="2"/>
  <c r="AK196" i="2"/>
  <c r="AL195" i="2"/>
  <c r="AK195" i="2"/>
  <c r="AL194" i="2"/>
  <c r="AK194" i="2"/>
  <c r="AL193" i="2"/>
  <c r="AK193" i="2"/>
  <c r="AL192" i="2"/>
  <c r="AK192" i="2"/>
  <c r="AL191" i="2"/>
  <c r="AK191" i="2"/>
  <c r="AL190" i="2"/>
  <c r="AK190" i="2"/>
  <c r="AL189" i="2"/>
  <c r="AK189" i="2"/>
  <c r="AL188" i="2"/>
  <c r="AK188" i="2"/>
  <c r="AL187" i="2"/>
  <c r="AK187" i="2"/>
  <c r="AL186" i="2"/>
  <c r="AK186" i="2"/>
  <c r="AL185" i="2"/>
  <c r="AK185" i="2"/>
  <c r="AL184" i="2"/>
  <c r="AK184" i="2"/>
  <c r="AL183" i="2"/>
  <c r="AK183" i="2"/>
  <c r="AL182" i="2"/>
  <c r="AK182" i="2"/>
  <c r="AL181" i="2"/>
  <c r="AK181" i="2"/>
  <c r="AL180" i="2"/>
  <c r="AK180" i="2"/>
  <c r="AL179" i="2"/>
  <c r="AK179" i="2"/>
  <c r="AL178" i="2"/>
  <c r="AK178" i="2"/>
  <c r="AL177" i="2"/>
  <c r="AK177" i="2"/>
  <c r="AL176" i="2"/>
  <c r="AK176" i="2"/>
  <c r="AL175" i="2"/>
  <c r="AK175" i="2"/>
  <c r="AL174" i="2"/>
  <c r="AK174" i="2"/>
  <c r="AL173" i="2"/>
  <c r="AK173" i="2"/>
  <c r="AL172" i="2"/>
  <c r="AK172" i="2"/>
  <c r="AL171" i="2"/>
  <c r="AK171" i="2"/>
  <c r="AL170" i="2"/>
  <c r="AK170" i="2"/>
  <c r="AL169" i="2"/>
  <c r="AK169" i="2"/>
  <c r="AL168" i="2"/>
  <c r="AK168" i="2"/>
  <c r="AL167" i="2"/>
  <c r="AK167" i="2"/>
  <c r="AL166" i="2"/>
  <c r="AK166" i="2"/>
  <c r="AL165" i="2"/>
  <c r="AK165" i="2"/>
  <c r="AL164" i="2"/>
  <c r="AK164" i="2"/>
  <c r="AL163" i="2"/>
  <c r="AK163" i="2"/>
  <c r="AL162" i="2"/>
  <c r="AK162" i="2"/>
  <c r="AL161" i="2"/>
  <c r="AK161" i="2"/>
  <c r="AL160" i="2"/>
  <c r="AK160" i="2"/>
  <c r="AL159" i="2"/>
  <c r="AK159" i="2"/>
  <c r="AL158" i="2"/>
  <c r="AK158" i="2"/>
  <c r="AL157" i="2"/>
  <c r="AK157" i="2"/>
  <c r="AL156" i="2"/>
  <c r="AK156" i="2"/>
  <c r="AL155" i="2"/>
  <c r="AK155" i="2"/>
  <c r="AL154" i="2"/>
  <c r="AK154" i="2"/>
  <c r="AL153" i="2"/>
  <c r="AK153" i="2"/>
  <c r="AL152" i="2"/>
  <c r="AK152" i="2"/>
  <c r="AL151" i="2"/>
  <c r="AK151" i="2"/>
  <c r="AL150" i="2"/>
  <c r="AK150" i="2"/>
  <c r="AL149" i="2"/>
  <c r="AK149" i="2"/>
  <c r="AL148" i="2"/>
  <c r="AK148" i="2"/>
  <c r="AL147" i="2"/>
  <c r="AK147" i="2"/>
  <c r="AL146" i="2"/>
  <c r="AK146" i="2"/>
  <c r="AL145" i="2"/>
  <c r="AK145" i="2"/>
  <c r="AL144" i="2"/>
  <c r="AK144" i="2"/>
  <c r="AL143" i="2"/>
  <c r="AK143" i="2"/>
  <c r="AL142" i="2"/>
  <c r="AK142" i="2"/>
  <c r="AL141" i="2"/>
  <c r="AK141" i="2"/>
  <c r="AL140" i="2"/>
  <c r="AK140" i="2"/>
  <c r="AL139" i="2"/>
  <c r="AK139" i="2"/>
  <c r="AL138" i="2"/>
  <c r="AK138" i="2"/>
  <c r="AL137" i="2"/>
  <c r="AK137" i="2"/>
  <c r="AL136" i="2"/>
  <c r="AK136" i="2"/>
  <c r="AL135" i="2"/>
  <c r="AK135" i="2"/>
  <c r="AL134" i="2"/>
  <c r="AK134" i="2"/>
  <c r="AL133" i="2"/>
  <c r="AK133" i="2"/>
  <c r="AL132" i="2"/>
  <c r="AK132" i="2"/>
  <c r="AL131" i="2"/>
  <c r="AK131" i="2"/>
  <c r="AL130" i="2"/>
  <c r="AK130" i="2"/>
  <c r="AL129" i="2"/>
  <c r="AK129" i="2"/>
  <c r="AL128" i="2"/>
  <c r="AK128" i="2"/>
  <c r="AL127" i="2"/>
  <c r="AK127" i="2"/>
  <c r="AL126" i="2"/>
  <c r="AK126" i="2"/>
  <c r="AL125" i="2"/>
  <c r="AK125" i="2"/>
  <c r="AL124" i="2"/>
  <c r="AK124" i="2"/>
  <c r="AL123" i="2"/>
  <c r="AK123" i="2"/>
  <c r="AL122" i="2"/>
  <c r="AK122" i="2"/>
  <c r="AL121" i="2"/>
  <c r="AK121" i="2"/>
  <c r="AL120" i="2"/>
  <c r="AK120" i="2"/>
  <c r="AL119" i="2"/>
  <c r="AK119" i="2"/>
  <c r="AL118" i="2"/>
  <c r="AK118" i="2"/>
  <c r="AL117" i="2"/>
  <c r="AK117" i="2"/>
  <c r="AL116" i="2"/>
  <c r="AK116" i="2"/>
  <c r="AL115" i="2"/>
  <c r="AK115" i="2"/>
  <c r="AL114" i="2"/>
  <c r="AK114" i="2"/>
  <c r="AL113" i="2"/>
  <c r="AK113" i="2"/>
  <c r="AL112" i="2"/>
  <c r="AK112" i="2"/>
  <c r="AL111" i="2"/>
  <c r="AK111" i="2"/>
  <c r="AL110" i="2"/>
  <c r="AK110" i="2"/>
  <c r="AL109" i="2"/>
  <c r="AK109" i="2"/>
  <c r="AL108" i="2"/>
  <c r="AK108" i="2"/>
  <c r="AL107" i="2"/>
  <c r="AK107" i="2"/>
  <c r="AL106" i="2"/>
  <c r="AK106" i="2"/>
  <c r="AL105" i="2"/>
  <c r="AK105" i="2"/>
  <c r="AL104" i="2"/>
  <c r="AK104" i="2"/>
  <c r="AL103" i="2"/>
  <c r="AK103" i="2"/>
  <c r="AL102" i="2"/>
  <c r="AK102" i="2"/>
  <c r="AL101" i="2"/>
  <c r="AK101" i="2"/>
  <c r="AL100" i="2"/>
  <c r="AK100" i="2"/>
  <c r="AL99" i="2"/>
  <c r="AK99" i="2"/>
  <c r="AL98" i="2"/>
  <c r="AK98" i="2"/>
  <c r="AL97" i="2"/>
  <c r="AK97" i="2"/>
  <c r="AL96" i="2"/>
  <c r="AK96" i="2"/>
  <c r="AL95" i="2"/>
  <c r="AK95" i="2"/>
  <c r="AL94" i="2"/>
  <c r="AK94" i="2"/>
  <c r="AL93" i="2"/>
  <c r="AK93" i="2"/>
  <c r="AL92" i="2"/>
  <c r="AK92" i="2"/>
  <c r="AL91" i="2"/>
  <c r="AK91" i="2"/>
  <c r="AL90" i="2"/>
  <c r="AK90" i="2"/>
  <c r="AL89" i="2"/>
  <c r="AK89" i="2"/>
  <c r="AL88" i="2"/>
  <c r="AK88" i="2"/>
  <c r="AL87" i="2"/>
  <c r="AK87" i="2"/>
  <c r="AL86" i="2"/>
  <c r="AK86" i="2"/>
  <c r="AL85" i="2"/>
  <c r="AK85" i="2"/>
  <c r="AL84" i="2"/>
  <c r="AK84" i="2"/>
  <c r="AL83" i="2"/>
  <c r="AK83" i="2"/>
  <c r="AL82" i="2"/>
  <c r="AK82" i="2"/>
  <c r="AL81" i="2"/>
  <c r="AK81" i="2"/>
  <c r="AL80" i="2"/>
  <c r="AK80" i="2"/>
  <c r="AL79" i="2"/>
  <c r="AK79" i="2"/>
  <c r="AL78" i="2"/>
  <c r="AK78" i="2"/>
  <c r="AL77" i="2"/>
  <c r="AK77" i="2"/>
  <c r="AL76" i="2"/>
  <c r="AK76" i="2"/>
  <c r="AL75" i="2"/>
  <c r="AK75" i="2"/>
  <c r="AL74" i="2"/>
  <c r="AK74" i="2"/>
  <c r="AL73" i="2"/>
  <c r="AK73" i="2"/>
  <c r="AL72" i="2"/>
  <c r="AK72" i="2"/>
  <c r="AL71" i="2"/>
  <c r="AK71" i="2"/>
  <c r="AL70" i="2"/>
  <c r="AK70" i="2"/>
  <c r="AL69" i="2"/>
  <c r="AK69" i="2"/>
  <c r="AL68" i="2"/>
  <c r="AK68" i="2"/>
  <c r="AL67" i="2"/>
  <c r="AK67" i="2"/>
  <c r="AL66" i="2"/>
  <c r="AK66" i="2"/>
  <c r="AL65" i="2"/>
  <c r="AK65" i="2"/>
  <c r="AL64" i="2"/>
  <c r="AK64" i="2"/>
  <c r="AL63" i="2"/>
  <c r="AK63" i="2"/>
  <c r="AL62" i="2"/>
  <c r="AK62" i="2"/>
  <c r="AL61" i="2"/>
  <c r="AK61" i="2"/>
  <c r="AL60" i="2"/>
  <c r="AK60" i="2"/>
  <c r="AL59" i="2"/>
  <c r="AK59" i="2"/>
  <c r="AL58" i="2"/>
  <c r="AK58" i="2"/>
  <c r="AL57" i="2"/>
  <c r="AK57" i="2"/>
  <c r="AL56" i="2"/>
  <c r="AK56" i="2"/>
  <c r="AL55" i="2"/>
  <c r="AK55" i="2"/>
  <c r="AL54" i="2"/>
  <c r="AK54" i="2"/>
  <c r="AL53" i="2"/>
  <c r="AK53" i="2"/>
  <c r="AL52" i="2"/>
  <c r="AK52" i="2"/>
  <c r="AL51" i="2"/>
  <c r="AK51" i="2"/>
  <c r="AL50" i="2"/>
  <c r="AK50" i="2"/>
  <c r="AL49" i="2"/>
  <c r="AK49" i="2"/>
  <c r="AL48" i="2"/>
  <c r="AK48" i="2"/>
  <c r="AL47" i="2"/>
  <c r="AK47" i="2"/>
  <c r="AL46" i="2"/>
  <c r="AK46" i="2"/>
  <c r="AL45" i="2"/>
  <c r="AK45" i="2"/>
  <c r="AL44" i="2"/>
  <c r="AK44" i="2"/>
  <c r="AL43" i="2"/>
  <c r="AK43" i="2"/>
  <c r="AL42" i="2"/>
  <c r="AK42" i="2"/>
  <c r="AL41" i="2"/>
  <c r="AK41" i="2"/>
  <c r="AL40" i="2"/>
  <c r="AK40" i="2"/>
  <c r="AL39" i="2"/>
  <c r="AK39" i="2"/>
  <c r="AL38" i="2"/>
  <c r="AK38" i="2"/>
  <c r="AL37" i="2"/>
  <c r="AK37" i="2"/>
  <c r="AL36" i="2"/>
  <c r="AK36" i="2"/>
  <c r="AL35" i="2"/>
  <c r="AK35" i="2"/>
  <c r="AL34" i="2"/>
  <c r="AK34" i="2"/>
  <c r="AL33" i="2"/>
  <c r="AK33" i="2"/>
  <c r="AL32" i="2"/>
  <c r="AK32" i="2"/>
  <c r="AL31" i="2"/>
  <c r="AK31" i="2"/>
  <c r="AL30" i="2"/>
  <c r="AK30" i="2"/>
  <c r="AL29" i="2"/>
  <c r="AK29" i="2"/>
  <c r="AL28" i="2"/>
  <c r="AK28" i="2"/>
  <c r="AL27" i="2"/>
  <c r="AK27" i="2"/>
  <c r="AL26" i="2"/>
  <c r="AK26" i="2"/>
  <c r="AL25" i="2"/>
  <c r="AK25" i="2"/>
  <c r="AL24" i="2"/>
  <c r="AK24" i="2"/>
  <c r="AL23" i="2"/>
  <c r="AK23" i="2"/>
  <c r="AL22" i="2"/>
  <c r="AK22" i="2"/>
  <c r="AL21" i="2"/>
  <c r="AK21" i="2"/>
  <c r="AL20" i="2"/>
  <c r="AK20" i="2"/>
  <c r="AL19" i="2"/>
  <c r="AK19" i="2"/>
  <c r="AL18" i="2"/>
  <c r="AK18" i="2"/>
  <c r="AL17" i="2"/>
  <c r="AK17" i="2"/>
  <c r="AL16" i="2"/>
  <c r="AK16" i="2"/>
  <c r="AL15" i="2"/>
  <c r="AK15" i="2"/>
  <c r="AL14" i="2"/>
  <c r="AK14" i="2"/>
  <c r="AL13" i="2"/>
  <c r="AK13" i="2"/>
  <c r="AL12" i="2"/>
  <c r="AK12" i="2"/>
  <c r="AL11" i="2"/>
  <c r="AK11" i="2"/>
  <c r="AL10" i="2"/>
  <c r="AK10" i="2"/>
  <c r="AL9" i="2"/>
  <c r="AK9" i="2"/>
  <c r="AL8" i="2"/>
  <c r="AK8" i="2"/>
  <c r="AL7" i="2"/>
  <c r="AK7" i="2"/>
  <c r="AL6" i="2"/>
  <c r="AK6" i="2"/>
  <c r="AL5" i="2"/>
  <c r="AK5" i="2"/>
  <c r="AL4" i="2"/>
  <c r="AK4" i="2"/>
  <c r="AL3" i="2"/>
  <c r="AK3" i="2"/>
  <c r="AL2" i="2"/>
  <c r="AK2" i="2"/>
  <c r="AH233" i="2"/>
  <c r="AG233" i="2"/>
  <c r="AH232" i="2"/>
  <c r="AG232" i="2"/>
  <c r="AH231" i="2"/>
  <c r="AG231" i="2"/>
  <c r="AH230" i="2"/>
  <c r="AG230" i="2"/>
  <c r="AH229" i="2"/>
  <c r="AG229" i="2"/>
  <c r="AH228" i="2"/>
  <c r="AG228" i="2"/>
  <c r="AH227" i="2"/>
  <c r="AG227" i="2"/>
  <c r="AH226" i="2"/>
  <c r="AG226" i="2"/>
  <c r="AH225" i="2"/>
  <c r="AG225" i="2"/>
  <c r="AH224" i="2"/>
  <c r="AG224" i="2"/>
  <c r="AH223" i="2"/>
  <c r="AG223" i="2"/>
  <c r="AH222" i="2"/>
  <c r="AG222" i="2"/>
  <c r="AH221" i="2"/>
  <c r="AG221" i="2"/>
  <c r="AH220" i="2"/>
  <c r="AG220" i="2"/>
  <c r="AH219" i="2"/>
  <c r="AG219" i="2"/>
  <c r="AH218" i="2"/>
  <c r="AG218" i="2"/>
  <c r="AH217" i="2"/>
  <c r="AG217" i="2"/>
  <c r="AH216" i="2"/>
  <c r="AG216" i="2"/>
  <c r="AH215" i="2"/>
  <c r="AG215" i="2"/>
  <c r="AH214" i="2"/>
  <c r="AG214" i="2"/>
  <c r="AH213" i="2"/>
  <c r="AG213" i="2"/>
  <c r="AH212" i="2"/>
  <c r="AG212" i="2"/>
  <c r="AH211" i="2"/>
  <c r="AG211" i="2"/>
  <c r="AH210" i="2"/>
  <c r="AG210" i="2"/>
  <c r="AH209" i="2"/>
  <c r="AG209" i="2"/>
  <c r="AH208" i="2"/>
  <c r="AG208" i="2"/>
  <c r="AH207" i="2"/>
  <c r="AG207" i="2"/>
  <c r="AH206" i="2"/>
  <c r="AG206" i="2"/>
  <c r="AH205" i="2"/>
  <c r="AG205" i="2"/>
  <c r="AH204" i="2"/>
  <c r="AG204" i="2"/>
  <c r="AH203" i="2"/>
  <c r="AG203" i="2"/>
  <c r="AH202" i="2"/>
  <c r="AG202" i="2"/>
  <c r="AH201" i="2"/>
  <c r="AG201" i="2"/>
  <c r="AH200" i="2"/>
  <c r="AG200" i="2"/>
  <c r="AH199" i="2"/>
  <c r="AG199" i="2"/>
  <c r="AH198" i="2"/>
  <c r="AG198" i="2"/>
  <c r="AH197" i="2"/>
  <c r="AG197" i="2"/>
  <c r="AH196" i="2"/>
  <c r="AG196" i="2"/>
  <c r="AH195" i="2"/>
  <c r="AG195" i="2"/>
  <c r="AH194" i="2"/>
  <c r="AG194" i="2"/>
  <c r="AH193" i="2"/>
  <c r="AG193" i="2"/>
  <c r="AH192" i="2"/>
  <c r="AG192" i="2"/>
  <c r="AH191" i="2"/>
  <c r="AG191" i="2"/>
  <c r="AH190" i="2"/>
  <c r="AG190" i="2"/>
  <c r="AH189" i="2"/>
  <c r="AG189" i="2"/>
  <c r="AH188" i="2"/>
  <c r="AG188" i="2"/>
  <c r="AH187" i="2"/>
  <c r="AG187" i="2"/>
  <c r="AH186" i="2"/>
  <c r="AG186" i="2"/>
  <c r="AH185" i="2"/>
  <c r="AG185" i="2"/>
  <c r="AH184" i="2"/>
  <c r="AG184" i="2"/>
  <c r="AH183" i="2"/>
  <c r="AG183" i="2"/>
  <c r="AH182" i="2"/>
  <c r="AG182" i="2"/>
  <c r="AH181" i="2"/>
  <c r="AG181" i="2"/>
  <c r="AH180" i="2"/>
  <c r="AG180" i="2"/>
  <c r="AH179" i="2"/>
  <c r="AG179" i="2"/>
  <c r="AH178" i="2"/>
  <c r="AG178" i="2"/>
  <c r="AH177" i="2"/>
  <c r="AG177" i="2"/>
  <c r="AH176" i="2"/>
  <c r="AG176" i="2"/>
  <c r="AH175" i="2"/>
  <c r="AG175" i="2"/>
  <c r="AH174" i="2"/>
  <c r="AG174" i="2"/>
  <c r="AH173" i="2"/>
  <c r="AG173" i="2"/>
  <c r="AH172" i="2"/>
  <c r="AG172" i="2"/>
  <c r="AH171" i="2"/>
  <c r="AG171" i="2"/>
  <c r="AH170" i="2"/>
  <c r="AG170" i="2"/>
  <c r="AH169" i="2"/>
  <c r="AG169" i="2"/>
  <c r="AH168" i="2"/>
  <c r="AG168" i="2"/>
  <c r="AH167" i="2"/>
  <c r="AG167" i="2"/>
  <c r="AH166" i="2"/>
  <c r="AG166" i="2"/>
  <c r="AH165" i="2"/>
  <c r="AG165" i="2"/>
  <c r="AH164" i="2"/>
  <c r="AG164" i="2"/>
  <c r="AH163" i="2"/>
  <c r="AG163" i="2"/>
  <c r="AH162" i="2"/>
  <c r="AG162" i="2"/>
  <c r="AH161" i="2"/>
  <c r="AG161" i="2"/>
  <c r="AH160" i="2"/>
  <c r="AG160" i="2"/>
  <c r="AH159" i="2"/>
  <c r="AG159" i="2"/>
  <c r="AH158" i="2"/>
  <c r="AG158" i="2"/>
  <c r="AH157" i="2"/>
  <c r="AG157" i="2"/>
  <c r="AH156" i="2"/>
  <c r="AG156" i="2"/>
  <c r="AH155" i="2"/>
  <c r="AG155" i="2"/>
  <c r="AH154" i="2"/>
  <c r="AG154" i="2"/>
  <c r="AH153" i="2"/>
  <c r="AG153" i="2"/>
  <c r="AH152" i="2"/>
  <c r="AG152" i="2"/>
  <c r="AH151" i="2"/>
  <c r="AG151" i="2"/>
  <c r="AH150" i="2"/>
  <c r="AG150" i="2"/>
  <c r="AH149" i="2"/>
  <c r="AG149" i="2"/>
  <c r="AH148" i="2"/>
  <c r="AG148" i="2"/>
  <c r="AH147" i="2"/>
  <c r="AG147" i="2"/>
  <c r="AH146" i="2"/>
  <c r="AG146" i="2"/>
  <c r="AH145" i="2"/>
  <c r="AG145" i="2"/>
  <c r="AH144" i="2"/>
  <c r="AG144" i="2"/>
  <c r="AH143" i="2"/>
  <c r="AG143" i="2"/>
  <c r="AH142" i="2"/>
  <c r="AG142" i="2"/>
  <c r="AH141" i="2"/>
  <c r="AG141" i="2"/>
  <c r="AH140" i="2"/>
  <c r="AG140" i="2"/>
  <c r="AH139" i="2"/>
  <c r="AG139" i="2"/>
  <c r="AH138" i="2"/>
  <c r="AG138" i="2"/>
  <c r="AH137" i="2"/>
  <c r="AG137" i="2"/>
  <c r="AH136" i="2"/>
  <c r="AG136" i="2"/>
  <c r="AH135" i="2"/>
  <c r="AG135" i="2"/>
  <c r="AH134" i="2"/>
  <c r="AG134" i="2"/>
  <c r="AH133" i="2"/>
  <c r="AG133" i="2"/>
  <c r="AH132" i="2"/>
  <c r="AG132" i="2"/>
  <c r="AH131" i="2"/>
  <c r="AG131" i="2"/>
  <c r="AH130" i="2"/>
  <c r="AG130" i="2"/>
  <c r="AH129" i="2"/>
  <c r="AG129" i="2"/>
  <c r="AH128" i="2"/>
  <c r="AG128" i="2"/>
  <c r="AH127" i="2"/>
  <c r="AG127" i="2"/>
  <c r="AH126" i="2"/>
  <c r="AG126" i="2"/>
  <c r="AH125" i="2"/>
  <c r="AG125" i="2"/>
  <c r="AH124" i="2"/>
  <c r="AG124" i="2"/>
  <c r="AH123" i="2"/>
  <c r="AG123" i="2"/>
  <c r="AH122" i="2"/>
  <c r="AG122" i="2"/>
  <c r="AH121" i="2"/>
  <c r="AG121" i="2"/>
  <c r="AH120" i="2"/>
  <c r="AG120" i="2"/>
  <c r="AH119" i="2"/>
  <c r="AG119" i="2"/>
  <c r="AH118" i="2"/>
  <c r="AG118" i="2"/>
  <c r="AH117" i="2"/>
  <c r="AG117" i="2"/>
  <c r="AH116" i="2"/>
  <c r="AG116" i="2"/>
  <c r="AH115" i="2"/>
  <c r="AG115" i="2"/>
  <c r="AH114" i="2"/>
  <c r="AG114" i="2"/>
  <c r="AH113" i="2"/>
  <c r="AG113" i="2"/>
  <c r="AH112" i="2"/>
  <c r="AG112" i="2"/>
  <c r="AH111" i="2"/>
  <c r="AG111" i="2"/>
  <c r="AH110" i="2"/>
  <c r="AG110" i="2"/>
  <c r="AH109" i="2"/>
  <c r="AG109" i="2"/>
  <c r="AH108" i="2"/>
  <c r="AG108" i="2"/>
  <c r="AH107" i="2"/>
  <c r="AG107" i="2"/>
  <c r="AH106" i="2"/>
  <c r="AG106" i="2"/>
  <c r="AH105" i="2"/>
  <c r="AG105" i="2"/>
  <c r="AH104" i="2"/>
  <c r="AG104" i="2"/>
  <c r="AH103" i="2"/>
  <c r="AG103" i="2"/>
  <c r="AH102" i="2"/>
  <c r="AG102" i="2"/>
  <c r="AH101" i="2"/>
  <c r="AG101" i="2"/>
  <c r="AH100" i="2"/>
  <c r="AG100" i="2"/>
  <c r="AH99" i="2"/>
  <c r="AG99" i="2"/>
  <c r="AH98" i="2"/>
  <c r="AG98" i="2"/>
  <c r="AH97" i="2"/>
  <c r="AG97" i="2"/>
  <c r="AH96" i="2"/>
  <c r="AG96" i="2"/>
  <c r="AH95" i="2"/>
  <c r="AG95" i="2"/>
  <c r="AH94" i="2"/>
  <c r="AG94" i="2"/>
  <c r="AH93" i="2"/>
  <c r="AG93" i="2"/>
  <c r="AH92" i="2"/>
  <c r="AG92" i="2"/>
  <c r="AH91" i="2"/>
  <c r="AG91" i="2"/>
  <c r="AH90" i="2"/>
  <c r="AG90" i="2"/>
  <c r="AH89" i="2"/>
  <c r="AG89" i="2"/>
  <c r="AH88" i="2"/>
  <c r="AG88" i="2"/>
  <c r="AH87" i="2"/>
  <c r="AG87" i="2"/>
  <c r="AH86" i="2"/>
  <c r="AG86" i="2"/>
  <c r="AH85" i="2"/>
  <c r="AG85" i="2"/>
  <c r="AH84" i="2"/>
  <c r="AG84" i="2"/>
  <c r="AH83" i="2"/>
  <c r="AG83" i="2"/>
  <c r="AH82" i="2"/>
  <c r="AG82" i="2"/>
  <c r="AH81" i="2"/>
  <c r="AG81" i="2"/>
  <c r="AH80" i="2"/>
  <c r="AG80" i="2"/>
  <c r="AH79" i="2"/>
  <c r="AG79" i="2"/>
  <c r="AH78" i="2"/>
  <c r="AG78" i="2"/>
  <c r="AH77" i="2"/>
  <c r="AG77" i="2"/>
  <c r="AH76" i="2"/>
  <c r="AG76" i="2"/>
  <c r="AH75" i="2"/>
  <c r="AG75" i="2"/>
  <c r="AH74" i="2"/>
  <c r="AG74" i="2"/>
  <c r="AH73" i="2"/>
  <c r="AG73" i="2"/>
  <c r="AH72" i="2"/>
  <c r="AG72" i="2"/>
  <c r="AH71" i="2"/>
  <c r="AG71" i="2"/>
  <c r="AH70" i="2"/>
  <c r="AG70" i="2"/>
  <c r="AH69" i="2"/>
  <c r="AG69" i="2"/>
  <c r="AH68" i="2"/>
  <c r="AG68" i="2"/>
  <c r="AH67" i="2"/>
  <c r="AG67" i="2"/>
  <c r="AH66" i="2"/>
  <c r="AG66" i="2"/>
  <c r="AH65" i="2"/>
  <c r="AG65" i="2"/>
  <c r="AH64" i="2"/>
  <c r="AG64" i="2"/>
  <c r="AH63" i="2"/>
  <c r="AG63" i="2"/>
  <c r="AH62" i="2"/>
  <c r="AG62" i="2"/>
  <c r="AH61" i="2"/>
  <c r="AG61" i="2"/>
  <c r="AH60" i="2"/>
  <c r="AG60" i="2"/>
  <c r="AH59" i="2"/>
  <c r="AG59" i="2"/>
  <c r="AH58" i="2"/>
  <c r="AG58" i="2"/>
  <c r="AH57" i="2"/>
  <c r="AG57" i="2"/>
  <c r="AH56" i="2"/>
  <c r="AG56" i="2"/>
  <c r="AH55" i="2"/>
  <c r="AG55" i="2"/>
  <c r="AH54" i="2"/>
  <c r="AG54" i="2"/>
  <c r="AH53" i="2"/>
  <c r="AG53" i="2"/>
  <c r="AH52" i="2"/>
  <c r="AG52" i="2"/>
  <c r="AH51" i="2"/>
  <c r="AG51" i="2"/>
  <c r="AH50" i="2"/>
  <c r="AG50" i="2"/>
  <c r="AH49" i="2"/>
  <c r="AG49" i="2"/>
  <c r="AH48" i="2"/>
  <c r="AG48" i="2"/>
  <c r="AH47" i="2"/>
  <c r="AG47" i="2"/>
  <c r="AH46" i="2"/>
  <c r="AG46" i="2"/>
  <c r="AH45" i="2"/>
  <c r="AG45" i="2"/>
  <c r="AH44" i="2"/>
  <c r="AG44" i="2"/>
  <c r="AH43" i="2"/>
  <c r="AG43" i="2"/>
  <c r="AH42" i="2"/>
  <c r="AG42" i="2"/>
  <c r="AH41" i="2"/>
  <c r="AG41" i="2"/>
  <c r="AH40" i="2"/>
  <c r="AG40" i="2"/>
  <c r="AH39" i="2"/>
  <c r="AG39" i="2"/>
  <c r="AH38" i="2"/>
  <c r="AG38" i="2"/>
  <c r="AH37" i="2"/>
  <c r="AG37" i="2"/>
  <c r="AH36" i="2"/>
  <c r="AG36" i="2"/>
  <c r="AH35" i="2"/>
  <c r="AG35" i="2"/>
  <c r="AH34" i="2"/>
  <c r="AG34" i="2"/>
  <c r="AH33" i="2"/>
  <c r="AG33" i="2"/>
  <c r="AH32" i="2"/>
  <c r="AG32" i="2"/>
  <c r="AH31" i="2"/>
  <c r="AG31" i="2"/>
  <c r="AH30" i="2"/>
  <c r="AG30" i="2"/>
  <c r="AH29" i="2"/>
  <c r="AG29" i="2"/>
  <c r="AH28" i="2"/>
  <c r="AG28" i="2"/>
  <c r="AH27" i="2"/>
  <c r="AG27" i="2"/>
  <c r="AH26" i="2"/>
  <c r="AG26" i="2"/>
  <c r="AH25" i="2"/>
  <c r="AG25" i="2"/>
  <c r="AH24" i="2"/>
  <c r="AG24" i="2"/>
  <c r="AH23" i="2"/>
  <c r="AG23" i="2"/>
  <c r="AH22" i="2"/>
  <c r="AG22" i="2"/>
  <c r="AH21" i="2"/>
  <c r="AG21" i="2"/>
  <c r="AH20" i="2"/>
  <c r="AG20" i="2"/>
  <c r="AH19" i="2"/>
  <c r="AG19" i="2"/>
  <c r="AH18" i="2"/>
  <c r="AG18" i="2"/>
  <c r="AH17" i="2"/>
  <c r="AG17" i="2"/>
  <c r="AH16" i="2"/>
  <c r="AG16" i="2"/>
  <c r="AH15" i="2"/>
  <c r="AG15" i="2"/>
  <c r="AH14" i="2"/>
  <c r="AG14" i="2"/>
  <c r="AH13" i="2"/>
  <c r="AG13" i="2"/>
  <c r="AH12" i="2"/>
  <c r="AG12" i="2"/>
  <c r="AH11" i="2"/>
  <c r="AG11" i="2"/>
  <c r="AH10" i="2"/>
  <c r="AG10" i="2"/>
  <c r="AH9" i="2"/>
  <c r="AG9" i="2"/>
  <c r="AH8" i="2"/>
  <c r="AG8" i="2"/>
  <c r="AH7" i="2"/>
  <c r="AG7" i="2"/>
  <c r="AH6" i="2"/>
  <c r="AG6" i="2"/>
  <c r="AH5" i="2"/>
  <c r="AG5" i="2"/>
  <c r="AH4" i="2"/>
  <c r="AG4" i="2"/>
  <c r="AH3" i="2"/>
  <c r="AG3" i="2"/>
  <c r="AH2" i="2"/>
  <c r="AG2" i="2"/>
  <c r="B54" i="5"/>
  <c r="B50" i="5"/>
  <c r="B47" i="5"/>
  <c r="B43" i="5"/>
  <c r="AA233" i="2" l="1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AB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R3" i="7" l="1"/>
  <c r="R21" i="8" l="1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3" i="8"/>
  <c r="A4" i="8"/>
  <c r="A5" i="8"/>
  <c r="A6" i="8"/>
  <c r="E2" i="8"/>
  <c r="F2" i="8"/>
  <c r="G2" i="8"/>
  <c r="H2" i="8"/>
  <c r="I2" i="8"/>
  <c r="J2" i="8"/>
  <c r="K2" i="8"/>
  <c r="L2" i="8"/>
  <c r="M2" i="8"/>
  <c r="N2" i="8"/>
  <c r="O2" i="8"/>
  <c r="P2" i="8"/>
  <c r="Q2" i="8"/>
  <c r="E3" i="8"/>
  <c r="F3" i="8"/>
  <c r="G3" i="8"/>
  <c r="H3" i="8"/>
  <c r="I3" i="8"/>
  <c r="J3" i="8"/>
  <c r="K3" i="8"/>
  <c r="L3" i="8"/>
  <c r="M3" i="8"/>
  <c r="N3" i="8"/>
  <c r="O3" i="8"/>
  <c r="P3" i="8"/>
  <c r="Q3" i="8"/>
  <c r="E4" i="8"/>
  <c r="F4" i="8"/>
  <c r="G4" i="8"/>
  <c r="H4" i="8"/>
  <c r="I4" i="8"/>
  <c r="J4" i="8"/>
  <c r="K4" i="8"/>
  <c r="L4" i="8"/>
  <c r="M4" i="8"/>
  <c r="N4" i="8"/>
  <c r="O4" i="8"/>
  <c r="P4" i="8"/>
  <c r="Q4" i="8"/>
  <c r="E5" i="8"/>
  <c r="F5" i="8"/>
  <c r="G5" i="8"/>
  <c r="H5" i="8"/>
  <c r="I5" i="8"/>
  <c r="J5" i="8"/>
  <c r="K5" i="8"/>
  <c r="L5" i="8"/>
  <c r="M5" i="8"/>
  <c r="N5" i="8"/>
  <c r="O5" i="8"/>
  <c r="P5" i="8"/>
  <c r="Q5" i="8"/>
  <c r="E6" i="8"/>
  <c r="F6" i="8"/>
  <c r="G6" i="8"/>
  <c r="H6" i="8"/>
  <c r="I6" i="8"/>
  <c r="J6" i="8"/>
  <c r="K6" i="8"/>
  <c r="L6" i="8"/>
  <c r="M6" i="8"/>
  <c r="N6" i="8"/>
  <c r="O6" i="8"/>
  <c r="P6" i="8"/>
  <c r="Q6" i="8"/>
  <c r="E7" i="8"/>
  <c r="F7" i="8"/>
  <c r="G7" i="8"/>
  <c r="H7" i="8"/>
  <c r="I7" i="8"/>
  <c r="J7" i="8"/>
  <c r="K7" i="8"/>
  <c r="L7" i="8"/>
  <c r="M7" i="8"/>
  <c r="N7" i="8"/>
  <c r="O7" i="8"/>
  <c r="P7" i="8"/>
  <c r="Q7" i="8"/>
  <c r="E8" i="8"/>
  <c r="F8" i="8"/>
  <c r="G8" i="8"/>
  <c r="H8" i="8"/>
  <c r="I8" i="8"/>
  <c r="J8" i="8"/>
  <c r="K8" i="8"/>
  <c r="L8" i="8"/>
  <c r="M8" i="8"/>
  <c r="N8" i="8"/>
  <c r="O8" i="8"/>
  <c r="P8" i="8"/>
  <c r="Q8" i="8"/>
  <c r="E9" i="8"/>
  <c r="F9" i="8"/>
  <c r="G9" i="8"/>
  <c r="H9" i="8"/>
  <c r="I9" i="8"/>
  <c r="J9" i="8"/>
  <c r="K9" i="8"/>
  <c r="L9" i="8"/>
  <c r="M9" i="8"/>
  <c r="N9" i="8"/>
  <c r="O9" i="8"/>
  <c r="P9" i="8"/>
  <c r="Q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A2" i="8"/>
  <c r="C4" i="5"/>
  <c r="C7" i="5" s="1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" i="2"/>
  <c r="AK1" i="2"/>
  <c r="AG1" i="2"/>
  <c r="AC26" i="2"/>
  <c r="AD26" i="2" s="1"/>
  <c r="AC34" i="2"/>
  <c r="AD34" i="2"/>
  <c r="AC41" i="2"/>
  <c r="AD41" i="2" s="1"/>
  <c r="AC46" i="2"/>
  <c r="AD46" i="2" s="1"/>
  <c r="AC50" i="2"/>
  <c r="AD50" i="2" s="1"/>
  <c r="AC73" i="2"/>
  <c r="AD73" i="2" s="1"/>
  <c r="AC90" i="2"/>
  <c r="AD90" i="2" s="1"/>
  <c r="AC91" i="2"/>
  <c r="AD91" i="2" s="1"/>
  <c r="AC113" i="2"/>
  <c r="AD113" i="2" s="1"/>
  <c r="AC114" i="2"/>
  <c r="AD114" i="2"/>
  <c r="AC119" i="2"/>
  <c r="AD119" i="2" s="1"/>
  <c r="AC175" i="2"/>
  <c r="AD175" i="2" s="1"/>
  <c r="AC179" i="2"/>
  <c r="AD179" i="2" s="1"/>
  <c r="AC185" i="2"/>
  <c r="AD185" i="2" s="1"/>
  <c r="AC191" i="2"/>
  <c r="AD191" i="2" s="1"/>
  <c r="AC193" i="2"/>
  <c r="AD193" i="2"/>
  <c r="AC199" i="2"/>
  <c r="AD199" i="2" s="1"/>
  <c r="AC200" i="2"/>
  <c r="AD200" i="2" s="1"/>
  <c r="AC201" i="2"/>
  <c r="AD201" i="2" s="1"/>
  <c r="AC219" i="2"/>
  <c r="AD219" i="2" s="1"/>
  <c r="AC225" i="2"/>
  <c r="AD225" i="2" s="1"/>
  <c r="AD1" i="2"/>
  <c r="Z5" i="2"/>
  <c r="Z6" i="2"/>
  <c r="Z7" i="2"/>
  <c r="Z8" i="2"/>
  <c r="Z10" i="2"/>
  <c r="Z11" i="2"/>
  <c r="Z12" i="2"/>
  <c r="Z13" i="2"/>
  <c r="Z14" i="2"/>
  <c r="Z16" i="2"/>
  <c r="Z17" i="2"/>
  <c r="Z19" i="2"/>
  <c r="Z20" i="2"/>
  <c r="Z21" i="2"/>
  <c r="Z23" i="2"/>
  <c r="Z24" i="2"/>
  <c r="Z25" i="2"/>
  <c r="Z26" i="2"/>
  <c r="Z27" i="2"/>
  <c r="Z29" i="2"/>
  <c r="Z30" i="2"/>
  <c r="Z31" i="2"/>
  <c r="Z32" i="2"/>
  <c r="Z34" i="2"/>
  <c r="Z37" i="2"/>
  <c r="Z38" i="2"/>
  <c r="Z40" i="2"/>
  <c r="Z41" i="2"/>
  <c r="Z43" i="2"/>
  <c r="Z44" i="2"/>
  <c r="Z47" i="2"/>
  <c r="Z49" i="2"/>
  <c r="Z50" i="2"/>
  <c r="Z54" i="2"/>
  <c r="Z55" i="2"/>
  <c r="Z56" i="2"/>
  <c r="Z58" i="2"/>
  <c r="Z59" i="2"/>
  <c r="Z61" i="2"/>
  <c r="Z62" i="2"/>
  <c r="Z64" i="2"/>
  <c r="Z65" i="2"/>
  <c r="Z66" i="2"/>
  <c r="Z67" i="2"/>
  <c r="Z68" i="2"/>
  <c r="Z69" i="2"/>
  <c r="Z70" i="2"/>
  <c r="Z71" i="2"/>
  <c r="Z72" i="2"/>
  <c r="Z75" i="2"/>
  <c r="Z76" i="2"/>
  <c r="Z77" i="2"/>
  <c r="Z78" i="2"/>
  <c r="Z79" i="2"/>
  <c r="Z80" i="2"/>
  <c r="Z81" i="2"/>
  <c r="Z82" i="2"/>
  <c r="Z83" i="2"/>
  <c r="Z84" i="2"/>
  <c r="Z86" i="2"/>
  <c r="Z87" i="2"/>
  <c r="Z90" i="2"/>
  <c r="Z91" i="2"/>
  <c r="Z92" i="2"/>
  <c r="Z93" i="2"/>
  <c r="Z94" i="2"/>
  <c r="Z95" i="2"/>
  <c r="Z96" i="2"/>
  <c r="Z99" i="2"/>
  <c r="Z100" i="2"/>
  <c r="Z101" i="2"/>
  <c r="Z102" i="2"/>
  <c r="Z103" i="2"/>
  <c r="Z104" i="2"/>
  <c r="Z107" i="2"/>
  <c r="Z108" i="2"/>
  <c r="Z109" i="2"/>
  <c r="Z110" i="2"/>
  <c r="Z111" i="2"/>
  <c r="Z112" i="2"/>
  <c r="Z113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8" i="2"/>
  <c r="Z130" i="2"/>
  <c r="Z131" i="2"/>
  <c r="Z132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9" i="2"/>
  <c r="Z160" i="2"/>
  <c r="Z161" i="2"/>
  <c r="Z162" i="2"/>
  <c r="Z164" i="2"/>
  <c r="Z165" i="2"/>
  <c r="Z166" i="2"/>
  <c r="Z167" i="2"/>
  <c r="Z168" i="2"/>
  <c r="Z169" i="2"/>
  <c r="Z170" i="2"/>
  <c r="Z171" i="2"/>
  <c r="Z172" i="2"/>
  <c r="Z173" i="2"/>
  <c r="Z174" i="2"/>
  <c r="Z177" i="2"/>
  <c r="Z179" i="2"/>
  <c r="Z180" i="2"/>
  <c r="Z181" i="2"/>
  <c r="Z182" i="2"/>
  <c r="Z183" i="2"/>
  <c r="Z184" i="2"/>
  <c r="Z185" i="2"/>
  <c r="Z186" i="2"/>
  <c r="Z187" i="2"/>
  <c r="Z188" i="2"/>
  <c r="Z1" i="2"/>
  <c r="Y11" i="2"/>
  <c r="Y58" i="2"/>
  <c r="Y59" i="2"/>
  <c r="Y60" i="2"/>
  <c r="Y82" i="2"/>
  <c r="Y111" i="2"/>
  <c r="Y114" i="2"/>
  <c r="Y116" i="2"/>
  <c r="Y135" i="2"/>
  <c r="Y139" i="2"/>
  <c r="Y143" i="2"/>
  <c r="Y160" i="2"/>
  <c r="Y164" i="2"/>
  <c r="Y169" i="2"/>
  <c r="Y175" i="2"/>
  <c r="Y179" i="2"/>
  <c r="Y193" i="2"/>
  <c r="Y194" i="2"/>
  <c r="Y209" i="2"/>
  <c r="Y210" i="2"/>
  <c r="Y211" i="2"/>
  <c r="Y212" i="2"/>
  <c r="Y230" i="2"/>
  <c r="Y233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AE49" i="2" s="1"/>
  <c r="AF49" i="2" s="1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I1" i="2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M204" i="2" s="1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P231" i="2" s="1"/>
  <c r="I232" i="2"/>
  <c r="J232" i="2"/>
  <c r="I233" i="2"/>
  <c r="J233" i="2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E2" i="2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Y27" i="2" s="1"/>
  <c r="D28" i="2"/>
  <c r="Y28" i="2" s="1"/>
  <c r="D29" i="2"/>
  <c r="D30" i="2"/>
  <c r="D31" i="2"/>
  <c r="D32" i="2"/>
  <c r="D33" i="2"/>
  <c r="D34" i="2"/>
  <c r="D35" i="2"/>
  <c r="D36" i="2"/>
  <c r="D37" i="2"/>
  <c r="D38" i="2"/>
  <c r="AC38" i="2" s="1"/>
  <c r="AD38" i="2" s="1"/>
  <c r="D39" i="2"/>
  <c r="D40" i="2"/>
  <c r="D41" i="2"/>
  <c r="D42" i="2"/>
  <c r="D43" i="2"/>
  <c r="Y43" i="2" s="1"/>
  <c r="D44" i="2"/>
  <c r="D45" i="2"/>
  <c r="D46" i="2"/>
  <c r="D47" i="2"/>
  <c r="D48" i="2"/>
  <c r="D49" i="2"/>
  <c r="D50" i="2"/>
  <c r="D51" i="2"/>
  <c r="D52" i="2"/>
  <c r="Y52" i="2" s="1"/>
  <c r="D53" i="2"/>
  <c r="Y53" i="2" s="1"/>
  <c r="D54" i="2"/>
  <c r="D55" i="2"/>
  <c r="D56" i="2"/>
  <c r="D57" i="2"/>
  <c r="D58" i="2"/>
  <c r="D59" i="2"/>
  <c r="D60" i="2"/>
  <c r="D61" i="2"/>
  <c r="D62" i="2"/>
  <c r="AC62" i="2" s="1"/>
  <c r="AD62" i="2" s="1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Y75" i="2" s="1"/>
  <c r="D76" i="2"/>
  <c r="D77" i="2"/>
  <c r="D78" i="2"/>
  <c r="D79" i="2"/>
  <c r="Y79" i="2" s="1"/>
  <c r="D80" i="2"/>
  <c r="Y80" i="2" s="1"/>
  <c r="D81" i="2"/>
  <c r="D82" i="2"/>
  <c r="D83" i="2"/>
  <c r="D84" i="2"/>
  <c r="Y84" i="2" s="1"/>
  <c r="D85" i="2"/>
  <c r="Y85" i="2" s="1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Y101" i="2" s="1"/>
  <c r="D102" i="2"/>
  <c r="D103" i="2"/>
  <c r="D104" i="2"/>
  <c r="D105" i="2"/>
  <c r="D106" i="2"/>
  <c r="D107" i="2"/>
  <c r="Y107" i="2" s="1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Y122" i="2" s="1"/>
  <c r="D123" i="2"/>
  <c r="D124" i="2"/>
  <c r="D125" i="2"/>
  <c r="D126" i="2"/>
  <c r="D127" i="2"/>
  <c r="D128" i="2"/>
  <c r="D129" i="2"/>
  <c r="D130" i="2"/>
  <c r="D131" i="2"/>
  <c r="AC131" i="2" s="1"/>
  <c r="AD131" i="2" s="1"/>
  <c r="D132" i="2"/>
  <c r="D133" i="2"/>
  <c r="Y133" i="2" s="1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Y154" i="2" s="1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Y172" i="2" s="1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AC189" i="2" s="1"/>
  <c r="AD189" i="2" s="1"/>
  <c r="D190" i="2"/>
  <c r="D191" i="2"/>
  <c r="D192" i="2"/>
  <c r="Y192" i="2" s="1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Y207" i="2" s="1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Y229" i="2" s="1"/>
  <c r="D230" i="2"/>
  <c r="D231" i="2"/>
  <c r="D232" i="2"/>
  <c r="D233" i="2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D5" i="8"/>
  <c r="D6" i="8"/>
  <c r="D9" i="8"/>
  <c r="D2" i="8"/>
  <c r="D13" i="8"/>
  <c r="D8" i="8"/>
  <c r="D4" i="8"/>
  <c r="D10" i="8"/>
  <c r="D15" i="8"/>
  <c r="D16" i="8"/>
  <c r="D11" i="8"/>
  <c r="D17" i="8"/>
  <c r="D14" i="8"/>
  <c r="D3" i="8"/>
  <c r="D19" i="8"/>
  <c r="D21" i="8"/>
  <c r="D7" i="8"/>
  <c r="D12" i="8"/>
  <c r="D20" i="8"/>
  <c r="D18" i="8"/>
  <c r="U1" i="8" l="1"/>
  <c r="Y213" i="2"/>
  <c r="AC149" i="2"/>
  <c r="AD149" i="2" s="1"/>
  <c r="AC117" i="2"/>
  <c r="AD117" i="2" s="1"/>
  <c r="AC93" i="2"/>
  <c r="AD93" i="2" s="1"/>
  <c r="AC69" i="2"/>
  <c r="AD69" i="2" s="1"/>
  <c r="AC45" i="2"/>
  <c r="AD45" i="2" s="1"/>
  <c r="AC21" i="2"/>
  <c r="AD21" i="2" s="1"/>
  <c r="AE5" i="2"/>
  <c r="AI45" i="2"/>
  <c r="AC228" i="2"/>
  <c r="AD228" i="2" s="1"/>
  <c r="AC204" i="2"/>
  <c r="AD204" i="2" s="1"/>
  <c r="Y180" i="2"/>
  <c r="AC124" i="2"/>
  <c r="AD124" i="2" s="1"/>
  <c r="AC92" i="2"/>
  <c r="AD92" i="2" s="1"/>
  <c r="AC68" i="2"/>
  <c r="AD68" i="2" s="1"/>
  <c r="AI123" i="2"/>
  <c r="AJ123" i="2" s="1"/>
  <c r="AE147" i="2"/>
  <c r="AI187" i="2"/>
  <c r="AJ187" i="2" s="1"/>
  <c r="AP1" i="2"/>
  <c r="AC203" i="2"/>
  <c r="AD203" i="2" s="1"/>
  <c r="AC155" i="2"/>
  <c r="AD155" i="2" s="1"/>
  <c r="AE20" i="2"/>
  <c r="AF20" i="2" s="1"/>
  <c r="AI100" i="2"/>
  <c r="AI124" i="2"/>
  <c r="AI132" i="2"/>
  <c r="AI156" i="2"/>
  <c r="AI172" i="2"/>
  <c r="AI196" i="2"/>
  <c r="AI204" i="2"/>
  <c r="AJ204" i="2" s="1"/>
  <c r="AI228" i="2"/>
  <c r="AJ228" i="2" s="1"/>
  <c r="Y173" i="2"/>
  <c r="Y156" i="2"/>
  <c r="AC210" i="2"/>
  <c r="AD210" i="2" s="1"/>
  <c r="AC186" i="2"/>
  <c r="AD186" i="2" s="1"/>
  <c r="Y130" i="2"/>
  <c r="Y66" i="2"/>
  <c r="AC2" i="2"/>
  <c r="AD2" i="2" s="1"/>
  <c r="AI21" i="2"/>
  <c r="AE29" i="2"/>
  <c r="AE37" i="2"/>
  <c r="AE53" i="2"/>
  <c r="AI61" i="2"/>
  <c r="AE69" i="2"/>
  <c r="AE93" i="2"/>
  <c r="AE101" i="2"/>
  <c r="AF101" i="2" s="1"/>
  <c r="AE117" i="2"/>
  <c r="AE125" i="2"/>
  <c r="AF125" i="2" s="1"/>
  <c r="AE149" i="2"/>
  <c r="AF149" i="2" s="1"/>
  <c r="AI157" i="2"/>
  <c r="AJ157" i="2" s="1"/>
  <c r="AE165" i="2"/>
  <c r="AF165" i="2" s="1"/>
  <c r="AE181" i="2"/>
  <c r="AE229" i="2"/>
  <c r="AF229" i="2" s="1"/>
  <c r="Y228" i="2"/>
  <c r="Y155" i="2"/>
  <c r="AC170" i="2"/>
  <c r="AD170" i="2" s="1"/>
  <c r="AC130" i="2"/>
  <c r="AD130" i="2" s="1"/>
  <c r="AC66" i="2"/>
  <c r="AD66" i="2" s="1"/>
  <c r="Y217" i="2"/>
  <c r="AC209" i="2"/>
  <c r="AD209" i="2" s="1"/>
  <c r="AC177" i="2"/>
  <c r="AD177" i="2" s="1"/>
  <c r="Y161" i="2"/>
  <c r="Y153" i="2"/>
  <c r="Y121" i="2"/>
  <c r="Y113" i="2"/>
  <c r="Y105" i="2"/>
  <c r="Y89" i="2"/>
  <c r="Y81" i="2"/>
  <c r="Y73" i="2"/>
  <c r="Y57" i="2"/>
  <c r="Y41" i="2"/>
  <c r="Y17" i="2"/>
  <c r="AI22" i="2"/>
  <c r="AI38" i="2"/>
  <c r="AJ38" i="2" s="1"/>
  <c r="AE46" i="2"/>
  <c r="AF46" i="2" s="1"/>
  <c r="AI110" i="2"/>
  <c r="AJ110" i="2" s="1"/>
  <c r="AI150" i="2"/>
  <c r="AJ150" i="2" s="1"/>
  <c r="AI166" i="2"/>
  <c r="AJ166" i="2" s="1"/>
  <c r="AI214" i="2"/>
  <c r="AJ214" i="2" s="1"/>
  <c r="Y225" i="2"/>
  <c r="Y170" i="2"/>
  <c r="Y132" i="2"/>
  <c r="Y26" i="2"/>
  <c r="AC217" i="2"/>
  <c r="AD217" i="2" s="1"/>
  <c r="AC188" i="2"/>
  <c r="AD188" i="2" s="1"/>
  <c r="AC169" i="2"/>
  <c r="AD169" i="2" s="1"/>
  <c r="AC148" i="2"/>
  <c r="AD148" i="2" s="1"/>
  <c r="AC111" i="2"/>
  <c r="AD111" i="2" s="1"/>
  <c r="AC89" i="2"/>
  <c r="AD89" i="2" s="1"/>
  <c r="AC20" i="2"/>
  <c r="AD20" i="2" s="1"/>
  <c r="AC221" i="2"/>
  <c r="AD221" i="2" s="1"/>
  <c r="AC197" i="2"/>
  <c r="AD197" i="2" s="1"/>
  <c r="Y181" i="2"/>
  <c r="Y157" i="2"/>
  <c r="AC133" i="2"/>
  <c r="AD133" i="2" s="1"/>
  <c r="AC101" i="2"/>
  <c r="AD101" i="2" s="1"/>
  <c r="AC77" i="2"/>
  <c r="AD77" i="2" s="1"/>
  <c r="AC53" i="2"/>
  <c r="AD53" i="2" s="1"/>
  <c r="AC37" i="2"/>
  <c r="AD37" i="2" s="1"/>
  <c r="AC13" i="2"/>
  <c r="AD13" i="2" s="1"/>
  <c r="AI34" i="2"/>
  <c r="AI106" i="2"/>
  <c r="AJ106" i="2" s="1"/>
  <c r="AC220" i="2"/>
  <c r="AD220" i="2" s="1"/>
  <c r="AC172" i="2"/>
  <c r="AD172" i="2" s="1"/>
  <c r="AC140" i="2"/>
  <c r="AD140" i="2" s="1"/>
  <c r="AC116" i="2"/>
  <c r="AD116" i="2" s="1"/>
  <c r="AC100" i="2"/>
  <c r="AD100" i="2" s="1"/>
  <c r="AC76" i="2"/>
  <c r="AD76" i="2" s="1"/>
  <c r="AC60" i="2"/>
  <c r="AD60" i="2" s="1"/>
  <c r="Y44" i="2"/>
  <c r="AC12" i="2"/>
  <c r="AD12" i="2" s="1"/>
  <c r="AI11" i="2"/>
  <c r="AJ11" i="2" s="1"/>
  <c r="AI51" i="2"/>
  <c r="AJ51" i="2" s="1"/>
  <c r="AE99" i="2"/>
  <c r="AI179" i="2"/>
  <c r="AJ179" i="2" s="1"/>
  <c r="AE227" i="2"/>
  <c r="Y196" i="2"/>
  <c r="Y5" i="2"/>
  <c r="AC157" i="2"/>
  <c r="AD157" i="2" s="1"/>
  <c r="AC211" i="2"/>
  <c r="AD211" i="2" s="1"/>
  <c r="Y187" i="2"/>
  <c r="Y123" i="2"/>
  <c r="Y99" i="2"/>
  <c r="AI12" i="2"/>
  <c r="AJ12" i="2" s="1"/>
  <c r="AE36" i="2"/>
  <c r="AI60" i="2"/>
  <c r="AI76" i="2"/>
  <c r="AI108" i="2"/>
  <c r="AJ108" i="2" s="1"/>
  <c r="AI164" i="2"/>
  <c r="AI188" i="2"/>
  <c r="AI220" i="2"/>
  <c r="AJ220" i="2" s="1"/>
  <c r="AC44" i="2"/>
  <c r="AD44" i="2" s="1"/>
  <c r="AC218" i="2"/>
  <c r="AD218" i="2" s="1"/>
  <c r="AC202" i="2"/>
  <c r="AD202" i="2" s="1"/>
  <c r="AC178" i="2"/>
  <c r="AD178" i="2" s="1"/>
  <c r="AC98" i="2"/>
  <c r="AD98" i="2" s="1"/>
  <c r="AC82" i="2"/>
  <c r="AD82" i="2" s="1"/>
  <c r="AC42" i="2"/>
  <c r="AD42" i="2" s="1"/>
  <c r="Y34" i="2"/>
  <c r="AC10" i="2"/>
  <c r="AD10" i="2" s="1"/>
  <c r="AC216" i="2"/>
  <c r="AD216" i="2" s="1"/>
  <c r="Y200" i="2"/>
  <c r="Y152" i="2"/>
  <c r="AC128" i="2"/>
  <c r="AD128" i="2" s="1"/>
  <c r="AC112" i="2"/>
  <c r="AD112" i="2" s="1"/>
  <c r="AC96" i="2"/>
  <c r="AD96" i="2" s="1"/>
  <c r="AC48" i="2"/>
  <c r="AD48" i="2" s="1"/>
  <c r="AC32" i="2"/>
  <c r="AD32" i="2" s="1"/>
  <c r="AC16" i="2"/>
  <c r="AD16" i="2" s="1"/>
  <c r="AE95" i="2"/>
  <c r="AF95" i="2" s="1"/>
  <c r="AE127" i="2"/>
  <c r="AF127" i="2" s="1"/>
  <c r="AE151" i="2"/>
  <c r="Y124" i="2"/>
  <c r="Y21" i="2"/>
  <c r="AC213" i="2"/>
  <c r="AD213" i="2" s="1"/>
  <c r="AC164" i="2"/>
  <c r="AD164" i="2" s="1"/>
  <c r="AC146" i="2"/>
  <c r="AD146" i="2" s="1"/>
  <c r="AC123" i="2"/>
  <c r="AD123" i="2" s="1"/>
  <c r="AC59" i="2"/>
  <c r="AD59" i="2" s="1"/>
  <c r="AC18" i="2"/>
  <c r="AD18" i="2" s="1"/>
  <c r="Y231" i="2"/>
  <c r="AC207" i="2"/>
  <c r="AD207" i="2" s="1"/>
  <c r="Y199" i="2"/>
  <c r="Y191" i="2"/>
  <c r="AC183" i="2"/>
  <c r="AD183" i="2" s="1"/>
  <c r="AC167" i="2"/>
  <c r="AD167" i="2" s="1"/>
  <c r="AC143" i="2"/>
  <c r="AD143" i="2" s="1"/>
  <c r="AC135" i="2"/>
  <c r="AD135" i="2" s="1"/>
  <c r="Y119" i="2"/>
  <c r="AC103" i="2"/>
  <c r="AD103" i="2" s="1"/>
  <c r="AC79" i="2"/>
  <c r="AD79" i="2" s="1"/>
  <c r="AC71" i="2"/>
  <c r="AD71" i="2" s="1"/>
  <c r="AC47" i="2"/>
  <c r="AD47" i="2" s="1"/>
  <c r="AC39" i="2"/>
  <c r="AD39" i="2" s="1"/>
  <c r="AC15" i="2"/>
  <c r="AD15" i="2" s="1"/>
  <c r="AC7" i="2"/>
  <c r="AD7" i="2" s="1"/>
  <c r="AE8" i="2"/>
  <c r="AE224" i="2"/>
  <c r="Y220" i="2"/>
  <c r="Y202" i="2"/>
  <c r="Y185" i="2"/>
  <c r="Y167" i="2"/>
  <c r="Y148" i="2"/>
  <c r="Y92" i="2"/>
  <c r="Y69" i="2"/>
  <c r="Y20" i="2"/>
  <c r="AC233" i="2"/>
  <c r="AD233" i="2" s="1"/>
  <c r="AC212" i="2"/>
  <c r="AD212" i="2" s="1"/>
  <c r="AC181" i="2"/>
  <c r="AD181" i="2" s="1"/>
  <c r="AC161" i="2"/>
  <c r="AD161" i="2" s="1"/>
  <c r="AC105" i="2"/>
  <c r="AD105" i="2" s="1"/>
  <c r="AC81" i="2"/>
  <c r="AD81" i="2" s="1"/>
  <c r="AC58" i="2"/>
  <c r="AD58" i="2" s="1"/>
  <c r="AC17" i="2"/>
  <c r="AD17" i="2" s="1"/>
  <c r="AE196" i="2"/>
  <c r="AC229" i="2"/>
  <c r="AD229" i="2" s="1"/>
  <c r="AI205" i="2"/>
  <c r="Y189" i="2"/>
  <c r="AC165" i="2"/>
  <c r="AD165" i="2" s="1"/>
  <c r="AC141" i="2"/>
  <c r="AD141" i="2" s="1"/>
  <c r="AC125" i="2"/>
  <c r="AD125" i="2" s="1"/>
  <c r="AC109" i="2"/>
  <c r="AD109" i="2" s="1"/>
  <c r="AE85" i="2"/>
  <c r="Y61" i="2"/>
  <c r="Y29" i="2"/>
  <c r="Y197" i="2"/>
  <c r="Y37" i="2"/>
  <c r="AC108" i="2"/>
  <c r="AD108" i="2" s="1"/>
  <c r="AC84" i="2"/>
  <c r="AD84" i="2" s="1"/>
  <c r="AC52" i="2"/>
  <c r="AD52" i="2" s="1"/>
  <c r="AC28" i="2"/>
  <c r="AD28" i="2" s="1"/>
  <c r="AI139" i="2"/>
  <c r="Y36" i="2"/>
  <c r="AC132" i="2"/>
  <c r="AD132" i="2" s="1"/>
  <c r="AC5" i="2"/>
  <c r="AD5" i="2" s="1"/>
  <c r="Y131" i="2"/>
  <c r="AC107" i="2"/>
  <c r="AD107" i="2" s="1"/>
  <c r="Y91" i="2"/>
  <c r="AC75" i="2"/>
  <c r="AD75" i="2" s="1"/>
  <c r="AC43" i="2"/>
  <c r="AD43" i="2" s="1"/>
  <c r="AC27" i="2"/>
  <c r="AD27" i="2" s="1"/>
  <c r="AC11" i="2"/>
  <c r="AD11" i="2" s="1"/>
  <c r="AI4" i="2"/>
  <c r="AI28" i="2"/>
  <c r="AI44" i="2"/>
  <c r="AI68" i="2"/>
  <c r="AE92" i="2"/>
  <c r="AE116" i="2"/>
  <c r="AI140" i="2"/>
  <c r="Y4" i="2"/>
  <c r="AC173" i="2"/>
  <c r="AD173" i="2" s="1"/>
  <c r="AC156" i="2"/>
  <c r="AD156" i="2" s="1"/>
  <c r="AC4" i="2"/>
  <c r="AD4" i="2" s="1"/>
  <c r="AC226" i="2"/>
  <c r="AD226" i="2" s="1"/>
  <c r="Y162" i="2"/>
  <c r="AC154" i="2"/>
  <c r="AD154" i="2" s="1"/>
  <c r="AC138" i="2"/>
  <c r="AD138" i="2" s="1"/>
  <c r="AC122" i="2"/>
  <c r="AD122" i="2" s="1"/>
  <c r="AC106" i="2"/>
  <c r="AD106" i="2" s="1"/>
  <c r="AC74" i="2"/>
  <c r="AD74" i="2" s="1"/>
  <c r="AC192" i="2"/>
  <c r="AD192" i="2" s="1"/>
  <c r="AC184" i="2"/>
  <c r="AD184" i="2" s="1"/>
  <c r="Y176" i="2"/>
  <c r="AC160" i="2"/>
  <c r="AD160" i="2" s="1"/>
  <c r="AC144" i="2"/>
  <c r="AD144" i="2" s="1"/>
  <c r="AC80" i="2"/>
  <c r="AD80" i="2" s="1"/>
  <c r="AC64" i="2"/>
  <c r="AD64" i="2" s="1"/>
  <c r="AE119" i="2"/>
  <c r="AE223" i="2"/>
  <c r="AF223" i="2" s="1"/>
  <c r="Y221" i="2"/>
  <c r="Y203" i="2"/>
  <c r="Y188" i="2"/>
  <c r="Y149" i="2"/>
  <c r="Y100" i="2"/>
  <c r="Y50" i="2"/>
  <c r="AC196" i="2"/>
  <c r="AD196" i="2" s="1"/>
  <c r="AE221" i="2"/>
  <c r="AF221" i="2" s="1"/>
  <c r="Y182" i="2"/>
  <c r="Y158" i="2"/>
  <c r="Y78" i="2"/>
  <c r="Y62" i="2"/>
  <c r="Y46" i="2"/>
  <c r="Y38" i="2"/>
  <c r="Q231" i="2"/>
  <c r="AE9" i="2"/>
  <c r="AF9" i="2" s="1"/>
  <c r="AI17" i="2"/>
  <c r="AI25" i="2"/>
  <c r="AI33" i="2"/>
  <c r="AI49" i="2"/>
  <c r="AJ49" i="2" s="1"/>
  <c r="AI57" i="2"/>
  <c r="AI65" i="2"/>
  <c r="AI81" i="2"/>
  <c r="AE89" i="2"/>
  <c r="AF89" i="2" s="1"/>
  <c r="AI97" i="2"/>
  <c r="AI113" i="2"/>
  <c r="AI121" i="2"/>
  <c r="AI129" i="2"/>
  <c r="AI145" i="2"/>
  <c r="AI153" i="2"/>
  <c r="AJ153" i="2" s="1"/>
  <c r="AI161" i="2"/>
  <c r="AJ161" i="2" s="1"/>
  <c r="AI177" i="2"/>
  <c r="AI185" i="2"/>
  <c r="AI193" i="2"/>
  <c r="AI209" i="2"/>
  <c r="AJ209" i="2" s="1"/>
  <c r="AI217" i="2"/>
  <c r="AE225" i="2"/>
  <c r="Y219" i="2"/>
  <c r="Y201" i="2"/>
  <c r="Y183" i="2"/>
  <c r="Y165" i="2"/>
  <c r="Y146" i="2"/>
  <c r="Y117" i="2"/>
  <c r="Y90" i="2"/>
  <c r="Y68" i="2"/>
  <c r="Y39" i="2"/>
  <c r="Y18" i="2"/>
  <c r="AC230" i="2"/>
  <c r="AD230" i="2" s="1"/>
  <c r="AC194" i="2"/>
  <c r="AD194" i="2" s="1"/>
  <c r="AC180" i="2"/>
  <c r="AD180" i="2" s="1"/>
  <c r="AC158" i="2"/>
  <c r="AD158" i="2" s="1"/>
  <c r="AC139" i="2"/>
  <c r="AD139" i="2" s="1"/>
  <c r="AC121" i="2"/>
  <c r="AD121" i="2" s="1"/>
  <c r="AC99" i="2"/>
  <c r="AD99" i="2" s="1"/>
  <c r="AC78" i="2"/>
  <c r="AD78" i="2" s="1"/>
  <c r="AC57" i="2"/>
  <c r="AD57" i="2" s="1"/>
  <c r="AC36" i="2"/>
  <c r="AD36" i="2" s="1"/>
  <c r="AE157" i="2"/>
  <c r="AF157" i="2" s="1"/>
  <c r="AI77" i="2"/>
  <c r="C5" i="5"/>
  <c r="C3" i="5" s="1"/>
  <c r="C6" i="5"/>
  <c r="AE65" i="2"/>
  <c r="AF65" i="2" s="1"/>
  <c r="AE44" i="2"/>
  <c r="AE164" i="2"/>
  <c r="AE129" i="2"/>
  <c r="AI37" i="2"/>
  <c r="AE124" i="2"/>
  <c r="AF124" i="2" s="1"/>
  <c r="AE108" i="2"/>
  <c r="AF108" i="2" s="1"/>
  <c r="AE209" i="2"/>
  <c r="AF209" i="2" s="1"/>
  <c r="AE25" i="2"/>
  <c r="AF25" i="2" s="1"/>
  <c r="AE21" i="2"/>
  <c r="AI36" i="2"/>
  <c r="AE177" i="2"/>
  <c r="AF177" i="2" s="1"/>
  <c r="AE81" i="2"/>
  <c r="AF81" i="2" s="1"/>
  <c r="AI89" i="2"/>
  <c r="AE172" i="2"/>
  <c r="AE68" i="2"/>
  <c r="AI92" i="2"/>
  <c r="AE123" i="2"/>
  <c r="AE220" i="2"/>
  <c r="AE121" i="2"/>
  <c r="AF121" i="2" s="1"/>
  <c r="AE11" i="2"/>
  <c r="AF11" i="2" s="1"/>
  <c r="AI227" i="2"/>
  <c r="AE193" i="2"/>
  <c r="AE153" i="2"/>
  <c r="AI69" i="2"/>
  <c r="AE187" i="2"/>
  <c r="AF8" i="2"/>
  <c r="AI6" i="2"/>
  <c r="AE6" i="2"/>
  <c r="AE14" i="2"/>
  <c r="AI14" i="2"/>
  <c r="AI54" i="2"/>
  <c r="AJ54" i="2" s="1"/>
  <c r="AE54" i="2"/>
  <c r="AI118" i="2"/>
  <c r="AJ118" i="2" s="1"/>
  <c r="AE118" i="2"/>
  <c r="AI134" i="2"/>
  <c r="AJ134" i="2" s="1"/>
  <c r="AE134" i="2"/>
  <c r="AI142" i="2"/>
  <c r="AJ142" i="2" s="1"/>
  <c r="AE142" i="2"/>
  <c r="AI222" i="2"/>
  <c r="AJ222" i="2" s="1"/>
  <c r="AE222" i="2"/>
  <c r="AI230" i="2"/>
  <c r="AE230" i="2"/>
  <c r="AF93" i="2"/>
  <c r="AE15" i="2"/>
  <c r="AI15" i="2"/>
  <c r="AE31" i="2"/>
  <c r="AI31" i="2"/>
  <c r="AE47" i="2"/>
  <c r="AI47" i="2"/>
  <c r="AI63" i="2"/>
  <c r="AE63" i="2"/>
  <c r="AI71" i="2"/>
  <c r="AE71" i="2"/>
  <c r="AE79" i="2"/>
  <c r="AI79" i="2"/>
  <c r="AI87" i="2"/>
  <c r="AE87" i="2"/>
  <c r="AI103" i="2"/>
  <c r="AE103" i="2"/>
  <c r="AI111" i="2"/>
  <c r="AE111" i="2"/>
  <c r="AI135" i="2"/>
  <c r="AE135" i="2"/>
  <c r="AE143" i="2"/>
  <c r="AI143" i="2"/>
  <c r="AE159" i="2"/>
  <c r="AI159" i="2"/>
  <c r="AE175" i="2"/>
  <c r="AI175" i="2"/>
  <c r="AI199" i="2"/>
  <c r="AE199" i="2"/>
  <c r="AE231" i="2"/>
  <c r="AI231" i="2"/>
  <c r="AJ231" i="2" s="1"/>
  <c r="AC232" i="2"/>
  <c r="AD232" i="2" s="1"/>
  <c r="Y232" i="2"/>
  <c r="AC224" i="2"/>
  <c r="AD224" i="2" s="1"/>
  <c r="Y224" i="2"/>
  <c r="AC208" i="2"/>
  <c r="AD208" i="2" s="1"/>
  <c r="Y208" i="2"/>
  <c r="AC120" i="2"/>
  <c r="AD120" i="2" s="1"/>
  <c r="Y120" i="2"/>
  <c r="AC88" i="2"/>
  <c r="AD88" i="2" s="1"/>
  <c r="Y88" i="2"/>
  <c r="AC56" i="2"/>
  <c r="AD56" i="2" s="1"/>
  <c r="Y56" i="2"/>
  <c r="AC40" i="2"/>
  <c r="AD40" i="2" s="1"/>
  <c r="Y40" i="2"/>
  <c r="AE32" i="2"/>
  <c r="AI48" i="2"/>
  <c r="AE48" i="2"/>
  <c r="AI64" i="2"/>
  <c r="AE64" i="2"/>
  <c r="AI80" i="2"/>
  <c r="AI88" i="2"/>
  <c r="AE88" i="2"/>
  <c r="AI104" i="2"/>
  <c r="AE104" i="2"/>
  <c r="AE112" i="2"/>
  <c r="AI112" i="2"/>
  <c r="AI120" i="2"/>
  <c r="AE120" i="2"/>
  <c r="AI128" i="2"/>
  <c r="AE128" i="2"/>
  <c r="AI144" i="2"/>
  <c r="AE144" i="2"/>
  <c r="AI160" i="2"/>
  <c r="AE160" i="2"/>
  <c r="AI168" i="2"/>
  <c r="AE168" i="2"/>
  <c r="AI192" i="2"/>
  <c r="AE192" i="2"/>
  <c r="AI208" i="2"/>
  <c r="AI224" i="2"/>
  <c r="AI232" i="2"/>
  <c r="AE232" i="2"/>
  <c r="Y96" i="2"/>
  <c r="AE38" i="2"/>
  <c r="Y223" i="2"/>
  <c r="AC223" i="2"/>
  <c r="AD223" i="2" s="1"/>
  <c r="AC215" i="2"/>
  <c r="AD215" i="2" s="1"/>
  <c r="Y215" i="2"/>
  <c r="AC159" i="2"/>
  <c r="AD159" i="2" s="1"/>
  <c r="Y159" i="2"/>
  <c r="AC151" i="2"/>
  <c r="AD151" i="2" s="1"/>
  <c r="Y151" i="2"/>
  <c r="AC127" i="2"/>
  <c r="AD127" i="2" s="1"/>
  <c r="Y127" i="2"/>
  <c r="AC95" i="2"/>
  <c r="AD95" i="2" s="1"/>
  <c r="Y95" i="2"/>
  <c r="AC87" i="2"/>
  <c r="AD87" i="2" s="1"/>
  <c r="Y87" i="2"/>
  <c r="AC63" i="2"/>
  <c r="AD63" i="2" s="1"/>
  <c r="Y63" i="2"/>
  <c r="AC55" i="2"/>
  <c r="AD55" i="2" s="1"/>
  <c r="Y55" i="2"/>
  <c r="AC31" i="2"/>
  <c r="AD31" i="2" s="1"/>
  <c r="Y31" i="2"/>
  <c r="Y23" i="2"/>
  <c r="AC23" i="2"/>
  <c r="AD23" i="2" s="1"/>
  <c r="Y16" i="2"/>
  <c r="AC231" i="2"/>
  <c r="AD231" i="2" s="1"/>
  <c r="AC176" i="2"/>
  <c r="AD176" i="2" s="1"/>
  <c r="AC152" i="2"/>
  <c r="AD152" i="2" s="1"/>
  <c r="AF181" i="2"/>
  <c r="AE80" i="2"/>
  <c r="AF37" i="2"/>
  <c r="AI119" i="2"/>
  <c r="AI99" i="2"/>
  <c r="AI46" i="2"/>
  <c r="Y222" i="2"/>
  <c r="AC222" i="2"/>
  <c r="AD222" i="2" s="1"/>
  <c r="Y214" i="2"/>
  <c r="AC214" i="2"/>
  <c r="AD214" i="2" s="1"/>
  <c r="Y206" i="2"/>
  <c r="AC206" i="2"/>
  <c r="AD206" i="2" s="1"/>
  <c r="Y198" i="2"/>
  <c r="AC198" i="2"/>
  <c r="AD198" i="2" s="1"/>
  <c r="Y190" i="2"/>
  <c r="AC190" i="2"/>
  <c r="AD190" i="2" s="1"/>
  <c r="Y174" i="2"/>
  <c r="AC174" i="2"/>
  <c r="AD174" i="2" s="1"/>
  <c r="Y166" i="2"/>
  <c r="AC166" i="2"/>
  <c r="AD166" i="2" s="1"/>
  <c r="Y150" i="2"/>
  <c r="AC150" i="2"/>
  <c r="AD150" i="2" s="1"/>
  <c r="Y142" i="2"/>
  <c r="AC142" i="2"/>
  <c r="AD142" i="2" s="1"/>
  <c r="Y134" i="2"/>
  <c r="AC134" i="2"/>
  <c r="AD134" i="2" s="1"/>
  <c r="Y126" i="2"/>
  <c r="AC126" i="2"/>
  <c r="AD126" i="2" s="1"/>
  <c r="AC118" i="2"/>
  <c r="AD118" i="2" s="1"/>
  <c r="Y118" i="2"/>
  <c r="AC110" i="2"/>
  <c r="AD110" i="2" s="1"/>
  <c r="Y110" i="2"/>
  <c r="Y102" i="2"/>
  <c r="AC102" i="2"/>
  <c r="AD102" i="2" s="1"/>
  <c r="Y94" i="2"/>
  <c r="AC94" i="2"/>
  <c r="AD94" i="2" s="1"/>
  <c r="AC86" i="2"/>
  <c r="AD86" i="2" s="1"/>
  <c r="Y86" i="2"/>
  <c r="Y70" i="2"/>
  <c r="AC70" i="2"/>
  <c r="AD70" i="2" s="1"/>
  <c r="AC54" i="2"/>
  <c r="AD54" i="2" s="1"/>
  <c r="Y54" i="2"/>
  <c r="Y30" i="2"/>
  <c r="AC30" i="2"/>
  <c r="AD30" i="2" s="1"/>
  <c r="AC22" i="2"/>
  <c r="AD22" i="2" s="1"/>
  <c r="Y22" i="2"/>
  <c r="Y14" i="2"/>
  <c r="AC14" i="2"/>
  <c r="AD14" i="2" s="1"/>
  <c r="Y6" i="2"/>
  <c r="AC6" i="2"/>
  <c r="AD6" i="2" s="1"/>
  <c r="Y216" i="2"/>
  <c r="Y184" i="2"/>
  <c r="Y112" i="2"/>
  <c r="Y71" i="2"/>
  <c r="Y32" i="2"/>
  <c r="Y15" i="2"/>
  <c r="AC187" i="2"/>
  <c r="AD187" i="2" s="1"/>
  <c r="AE214" i="2"/>
  <c r="AE179" i="2"/>
  <c r="AE150" i="2"/>
  <c r="AE110" i="2"/>
  <c r="AI147" i="2"/>
  <c r="AJ22" i="2"/>
  <c r="AI30" i="2"/>
  <c r="AE30" i="2"/>
  <c r="AI62" i="2"/>
  <c r="AJ62" i="2" s="1"/>
  <c r="AE62" i="2"/>
  <c r="AI70" i="2"/>
  <c r="AJ70" i="2" s="1"/>
  <c r="AE70" i="2"/>
  <c r="AI78" i="2"/>
  <c r="AJ78" i="2" s="1"/>
  <c r="AE78" i="2"/>
  <c r="AI86" i="2"/>
  <c r="AJ86" i="2" s="1"/>
  <c r="AE86" i="2"/>
  <c r="AI94" i="2"/>
  <c r="AJ94" i="2" s="1"/>
  <c r="AE94" i="2"/>
  <c r="AI102" i="2"/>
  <c r="AJ102" i="2" s="1"/>
  <c r="AE102" i="2"/>
  <c r="AE126" i="2"/>
  <c r="AI126" i="2"/>
  <c r="AJ126" i="2" s="1"/>
  <c r="AE158" i="2"/>
  <c r="AI158" i="2"/>
  <c r="AJ158" i="2" s="1"/>
  <c r="AI174" i="2"/>
  <c r="AJ174" i="2" s="1"/>
  <c r="AE174" i="2"/>
  <c r="AI182" i="2"/>
  <c r="AJ182" i="2" s="1"/>
  <c r="AE182" i="2"/>
  <c r="AI190" i="2"/>
  <c r="AJ190" i="2" s="1"/>
  <c r="AE190" i="2"/>
  <c r="AI198" i="2"/>
  <c r="AJ198" i="2" s="1"/>
  <c r="AE198" i="2"/>
  <c r="AI206" i="2"/>
  <c r="AJ206" i="2" s="1"/>
  <c r="AE206" i="2"/>
  <c r="AI7" i="2"/>
  <c r="AE7" i="2"/>
  <c r="AI23" i="2"/>
  <c r="AE23" i="2"/>
  <c r="AI39" i="2"/>
  <c r="AE39" i="2"/>
  <c r="AI55" i="2"/>
  <c r="AE55" i="2"/>
  <c r="AI167" i="2"/>
  <c r="AE167" i="2"/>
  <c r="AE183" i="2"/>
  <c r="AI183" i="2"/>
  <c r="AI191" i="2"/>
  <c r="AE191" i="2"/>
  <c r="AE207" i="2"/>
  <c r="AI207" i="2"/>
  <c r="AI215" i="2"/>
  <c r="AE215" i="2"/>
  <c r="AF224" i="2"/>
  <c r="AI127" i="2"/>
  <c r="AI95" i="2"/>
  <c r="Y168" i="2"/>
  <c r="AC168" i="2"/>
  <c r="AD168" i="2" s="1"/>
  <c r="AC136" i="2"/>
  <c r="AD136" i="2" s="1"/>
  <c r="Y136" i="2"/>
  <c r="AC104" i="2"/>
  <c r="AD104" i="2" s="1"/>
  <c r="Y104" i="2"/>
  <c r="AC72" i="2"/>
  <c r="AD72" i="2" s="1"/>
  <c r="Y72" i="2"/>
  <c r="Y24" i="2"/>
  <c r="AC24" i="2"/>
  <c r="AD24" i="2" s="1"/>
  <c r="AC8" i="2"/>
  <c r="AD8" i="2" s="1"/>
  <c r="Y8" i="2"/>
  <c r="AI8" i="2"/>
  <c r="AI16" i="2"/>
  <c r="AE16" i="2"/>
  <c r="AI24" i="2"/>
  <c r="AE24" i="2"/>
  <c r="AI40" i="2"/>
  <c r="AE40" i="2"/>
  <c r="AI56" i="2"/>
  <c r="AE56" i="2"/>
  <c r="AE72" i="2"/>
  <c r="AI72" i="2"/>
  <c r="AI96" i="2"/>
  <c r="AI136" i="2"/>
  <c r="AI152" i="2"/>
  <c r="AE152" i="2"/>
  <c r="AI176" i="2"/>
  <c r="AE176" i="2"/>
  <c r="AI184" i="2"/>
  <c r="AE184" i="2"/>
  <c r="AI200" i="2"/>
  <c r="AI216" i="2"/>
  <c r="AE216" i="2"/>
  <c r="AJ205" i="2"/>
  <c r="AF85" i="2"/>
  <c r="AI3" i="2"/>
  <c r="AE3" i="2"/>
  <c r="AI19" i="2"/>
  <c r="AE19" i="2"/>
  <c r="AI27" i="2"/>
  <c r="AE27" i="2"/>
  <c r="AI35" i="2"/>
  <c r="AE35" i="2"/>
  <c r="AI43" i="2"/>
  <c r="AE43" i="2"/>
  <c r="AI59" i="2"/>
  <c r="AE59" i="2"/>
  <c r="AI67" i="2"/>
  <c r="AE67" i="2"/>
  <c r="AI75" i="2"/>
  <c r="AE75" i="2"/>
  <c r="AE83" i="2"/>
  <c r="AI83" i="2"/>
  <c r="AI91" i="2"/>
  <c r="AE91" i="2"/>
  <c r="AF99" i="2"/>
  <c r="AI107" i="2"/>
  <c r="AE107" i="2"/>
  <c r="AI115" i="2"/>
  <c r="AE115" i="2"/>
  <c r="AI131" i="2"/>
  <c r="AE131" i="2"/>
  <c r="AJ139" i="2"/>
  <c r="AI155" i="2"/>
  <c r="AE155" i="2"/>
  <c r="AE163" i="2"/>
  <c r="AI163" i="2"/>
  <c r="AI171" i="2"/>
  <c r="AE171" i="2"/>
  <c r="AI195" i="2"/>
  <c r="AE195" i="2"/>
  <c r="AI203" i="2"/>
  <c r="AE203" i="2"/>
  <c r="AE211" i="2"/>
  <c r="AI211" i="2"/>
  <c r="AI219" i="2"/>
  <c r="AE219" i="2"/>
  <c r="AF227" i="2"/>
  <c r="Y128" i="2"/>
  <c r="AJ68" i="2"/>
  <c r="Y48" i="2"/>
  <c r="Y7" i="2"/>
  <c r="AE208" i="2"/>
  <c r="AE139" i="2"/>
  <c r="AI223" i="2"/>
  <c r="AC227" i="2"/>
  <c r="AD227" i="2" s="1"/>
  <c r="Y227" i="2"/>
  <c r="AC195" i="2"/>
  <c r="AD195" i="2" s="1"/>
  <c r="Y195" i="2"/>
  <c r="AC171" i="2"/>
  <c r="AD171" i="2" s="1"/>
  <c r="Y171" i="2"/>
  <c r="AC163" i="2"/>
  <c r="AD163" i="2" s="1"/>
  <c r="Y163" i="2"/>
  <c r="AC147" i="2"/>
  <c r="AD147" i="2" s="1"/>
  <c r="Y147" i="2"/>
  <c r="AC115" i="2"/>
  <c r="AD115" i="2" s="1"/>
  <c r="Y115" i="2"/>
  <c r="AC83" i="2"/>
  <c r="AD83" i="2" s="1"/>
  <c r="Y83" i="2"/>
  <c r="AC67" i="2"/>
  <c r="AD67" i="2" s="1"/>
  <c r="Y67" i="2"/>
  <c r="AC51" i="2"/>
  <c r="AD51" i="2" s="1"/>
  <c r="Y51" i="2"/>
  <c r="AC35" i="2"/>
  <c r="AD35" i="2" s="1"/>
  <c r="Y35" i="2"/>
  <c r="AC19" i="2"/>
  <c r="AD19" i="2" s="1"/>
  <c r="Y19" i="2"/>
  <c r="AC3" i="2"/>
  <c r="AD3" i="2" s="1"/>
  <c r="Y3" i="2"/>
  <c r="M199" i="2"/>
  <c r="L199" i="2"/>
  <c r="AF69" i="2"/>
  <c r="Y144" i="2"/>
  <c r="Y103" i="2"/>
  <c r="Y64" i="2"/>
  <c r="Y47" i="2"/>
  <c r="AC182" i="2"/>
  <c r="AD182" i="2" s="1"/>
  <c r="AE200" i="2"/>
  <c r="AE166" i="2"/>
  <c r="AE136" i="2"/>
  <c r="AE96" i="2"/>
  <c r="AE51" i="2"/>
  <c r="AE22" i="2"/>
  <c r="AI151" i="2"/>
  <c r="AI32" i="2"/>
  <c r="AF164" i="2"/>
  <c r="AJ45" i="2"/>
  <c r="AJ36" i="2"/>
  <c r="AI41" i="2"/>
  <c r="AE41" i="2"/>
  <c r="AI73" i="2"/>
  <c r="AJ73" i="2" s="1"/>
  <c r="AE73" i="2"/>
  <c r="AI105" i="2"/>
  <c r="AE105" i="2"/>
  <c r="AI137" i="2"/>
  <c r="AJ137" i="2" s="1"/>
  <c r="AE137" i="2"/>
  <c r="AI169" i="2"/>
  <c r="AE169" i="2"/>
  <c r="AI201" i="2"/>
  <c r="AE201" i="2"/>
  <c r="AI233" i="2"/>
  <c r="AE233" i="2"/>
  <c r="Y218" i="2"/>
  <c r="Y141" i="2"/>
  <c r="Y109" i="2"/>
  <c r="Y77" i="2"/>
  <c r="Y45" i="2"/>
  <c r="Y13" i="2"/>
  <c r="AC205" i="2"/>
  <c r="AD205" i="2" s="1"/>
  <c r="AC162" i="2"/>
  <c r="AD162" i="2" s="1"/>
  <c r="AE204" i="2"/>
  <c r="AE189" i="2"/>
  <c r="AE161" i="2"/>
  <c r="AE133" i="2"/>
  <c r="AE76" i="2"/>
  <c r="AE61" i="2"/>
  <c r="AE33" i="2"/>
  <c r="AI229" i="2"/>
  <c r="L204" i="2"/>
  <c r="AI2" i="2"/>
  <c r="AJ2" i="2" s="1"/>
  <c r="AE2" i="2"/>
  <c r="AE10" i="2"/>
  <c r="AE18" i="2"/>
  <c r="AE26" i="2"/>
  <c r="AI26" i="2"/>
  <c r="AJ26" i="2" s="1"/>
  <c r="AE34" i="2"/>
  <c r="AI42" i="2"/>
  <c r="AE42" i="2"/>
  <c r="AE50" i="2"/>
  <c r="AI50" i="2"/>
  <c r="AE58" i="2"/>
  <c r="AI66" i="2"/>
  <c r="AE66" i="2"/>
  <c r="AE74" i="2"/>
  <c r="AI74" i="2"/>
  <c r="AI82" i="2"/>
  <c r="AE82" i="2"/>
  <c r="AI90" i="2"/>
  <c r="AE90" i="2"/>
  <c r="AI98" i="2"/>
  <c r="AE98" i="2"/>
  <c r="AE106" i="2"/>
  <c r="AE114" i="2"/>
  <c r="AI114" i="2"/>
  <c r="AE122" i="2"/>
  <c r="AI122" i="2"/>
  <c r="AI130" i="2"/>
  <c r="AE130" i="2"/>
  <c r="AI138" i="2"/>
  <c r="AE138" i="2"/>
  <c r="AE146" i="2"/>
  <c r="AI146" i="2"/>
  <c r="AI154" i="2"/>
  <c r="AE154" i="2"/>
  <c r="AI162" i="2"/>
  <c r="AE162" i="2"/>
  <c r="AI170" i="2"/>
  <c r="AE170" i="2"/>
  <c r="AE178" i="2"/>
  <c r="AI178" i="2"/>
  <c r="AI186" i="2"/>
  <c r="AE186" i="2"/>
  <c r="AI194" i="2"/>
  <c r="AE194" i="2"/>
  <c r="AI202" i="2"/>
  <c r="AE202" i="2"/>
  <c r="AI210" i="2"/>
  <c r="AE210" i="2"/>
  <c r="AI218" i="2"/>
  <c r="AE218" i="2"/>
  <c r="AI226" i="2"/>
  <c r="AJ226" i="2" s="1"/>
  <c r="AE226" i="2"/>
  <c r="Y2" i="2"/>
  <c r="Y226" i="2"/>
  <c r="Y140" i="2"/>
  <c r="Y108" i="2"/>
  <c r="Y98" i="2"/>
  <c r="Y76" i="2"/>
  <c r="Y12" i="2"/>
  <c r="AE217" i="2"/>
  <c r="AE188" i="2"/>
  <c r="AE145" i="2"/>
  <c r="AE132" i="2"/>
  <c r="AE60" i="2"/>
  <c r="AE17" i="2"/>
  <c r="AE4" i="2"/>
  <c r="AF92" i="2"/>
  <c r="AI225" i="2"/>
  <c r="AI125" i="2"/>
  <c r="AI58" i="2"/>
  <c r="AI20" i="2"/>
  <c r="AI10" i="2"/>
  <c r="AJ77" i="2"/>
  <c r="AJ44" i="2"/>
  <c r="AI52" i="2"/>
  <c r="AE52" i="2"/>
  <c r="AE84" i="2"/>
  <c r="AI84" i="2"/>
  <c r="AJ124" i="2"/>
  <c r="AJ132" i="2"/>
  <c r="AI148" i="2"/>
  <c r="AE148" i="2"/>
  <c r="AJ156" i="2"/>
  <c r="AE180" i="2"/>
  <c r="AI180" i="2"/>
  <c r="AJ188" i="2"/>
  <c r="AI212" i="2"/>
  <c r="AE212" i="2"/>
  <c r="Y205" i="2"/>
  <c r="Y178" i="2"/>
  <c r="Y138" i="2"/>
  <c r="Y106" i="2"/>
  <c r="Y74" i="2"/>
  <c r="Y42" i="2"/>
  <c r="Y10" i="2"/>
  <c r="AC85" i="2"/>
  <c r="AD85" i="2" s="1"/>
  <c r="AC61" i="2"/>
  <c r="AD61" i="2" s="1"/>
  <c r="AC29" i="2"/>
  <c r="AD29" i="2" s="1"/>
  <c r="AE228" i="2"/>
  <c r="AE213" i="2"/>
  <c r="AE185" i="2"/>
  <c r="AE156" i="2"/>
  <c r="AE113" i="2"/>
  <c r="AE100" i="2"/>
  <c r="AE57" i="2"/>
  <c r="AE28" i="2"/>
  <c r="AI133" i="2"/>
  <c r="AI116" i="2"/>
  <c r="AI101" i="2"/>
  <c r="AI9" i="2"/>
  <c r="AC145" i="2"/>
  <c r="AD145" i="2" s="1"/>
  <c r="Y145" i="2"/>
  <c r="AC137" i="2"/>
  <c r="AD137" i="2" s="1"/>
  <c r="Y137" i="2"/>
  <c r="AC129" i="2"/>
  <c r="AD129" i="2" s="1"/>
  <c r="Y129" i="2"/>
  <c r="AC97" i="2"/>
  <c r="AD97" i="2" s="1"/>
  <c r="Y97" i="2"/>
  <c r="AC65" i="2"/>
  <c r="AD65" i="2" s="1"/>
  <c r="Y65" i="2"/>
  <c r="AC49" i="2"/>
  <c r="AD49" i="2" s="1"/>
  <c r="Y49" i="2"/>
  <c r="AC33" i="2"/>
  <c r="AD33" i="2" s="1"/>
  <c r="Y33" i="2"/>
  <c r="AC25" i="2"/>
  <c r="AD25" i="2" s="1"/>
  <c r="Y25" i="2"/>
  <c r="AC9" i="2"/>
  <c r="AD9" i="2" s="1"/>
  <c r="Y9" i="2"/>
  <c r="AI5" i="2"/>
  <c r="AE13" i="2"/>
  <c r="AI29" i="2"/>
  <c r="AE45" i="2"/>
  <c r="AI53" i="2"/>
  <c r="AE77" i="2"/>
  <c r="AI85" i="2"/>
  <c r="AI93" i="2"/>
  <c r="AI109" i="2"/>
  <c r="AE109" i="2"/>
  <c r="AI117" i="2"/>
  <c r="AI141" i="2"/>
  <c r="AE141" i="2"/>
  <c r="AI149" i="2"/>
  <c r="AI165" i="2"/>
  <c r="AI173" i="2"/>
  <c r="AE173" i="2"/>
  <c r="AI181" i="2"/>
  <c r="AI189" i="2"/>
  <c r="AI197" i="2"/>
  <c r="AE205" i="2"/>
  <c r="AI213" i="2"/>
  <c r="AI221" i="2"/>
  <c r="Y204" i="2"/>
  <c r="Y186" i="2"/>
  <c r="Y177" i="2"/>
  <c r="Y125" i="2"/>
  <c r="Y93" i="2"/>
  <c r="AC153" i="2"/>
  <c r="AD153" i="2" s="1"/>
  <c r="AE197" i="2"/>
  <c r="AE140" i="2"/>
  <c r="AE97" i="2"/>
  <c r="AE12" i="2"/>
  <c r="AJ172" i="2"/>
  <c r="AI18" i="2"/>
  <c r="AI13" i="2"/>
  <c r="AJ33" i="2"/>
  <c r="AJ121" i="2"/>
  <c r="AJ17" i="2"/>
  <c r="AJ177" i="2"/>
  <c r="AJ113" i="2"/>
  <c r="AJ5" i="2" l="1"/>
  <c r="AF196" i="2"/>
  <c r="AJ129" i="2"/>
  <c r="AJ34" i="2"/>
  <c r="AJ9" i="2"/>
  <c r="AJ100" i="2"/>
  <c r="AJ217" i="2"/>
  <c r="AF153" i="2"/>
  <c r="AJ4" i="2"/>
  <c r="AF29" i="2"/>
  <c r="AJ37" i="2"/>
  <c r="AJ76" i="2"/>
  <c r="AF151" i="2"/>
  <c r="AJ105" i="2"/>
  <c r="AJ81" i="2"/>
  <c r="AJ60" i="2"/>
  <c r="AJ140" i="2"/>
  <c r="AF117" i="2"/>
  <c r="AF44" i="2"/>
  <c r="AF119" i="2"/>
  <c r="AJ196" i="2"/>
  <c r="AJ65" i="2"/>
  <c r="AJ164" i="2"/>
  <c r="AJ145" i="2"/>
  <c r="AJ28" i="2"/>
  <c r="AF5" i="2"/>
  <c r="AF225" i="2"/>
  <c r="AJ185" i="2"/>
  <c r="AF116" i="2"/>
  <c r="AJ92" i="2"/>
  <c r="AJ97" i="2"/>
  <c r="AJ25" i="2"/>
  <c r="AF129" i="2"/>
  <c r="AJ21" i="2"/>
  <c r="AF147" i="2"/>
  <c r="AJ61" i="2"/>
  <c r="AF53" i="2"/>
  <c r="AJ193" i="2"/>
  <c r="AJ57" i="2"/>
  <c r="AF36" i="2"/>
  <c r="C3" i="8"/>
  <c r="C11" i="8"/>
  <c r="C19" i="8"/>
  <c r="C21" i="8"/>
  <c r="C6" i="8"/>
  <c r="C4" i="8"/>
  <c r="C12" i="8"/>
  <c r="C20" i="8"/>
  <c r="C13" i="8"/>
  <c r="C7" i="8"/>
  <c r="C15" i="8"/>
  <c r="C8" i="8"/>
  <c r="C16" i="8"/>
  <c r="C9" i="8"/>
  <c r="C17" i="8"/>
  <c r="C10" i="8"/>
  <c r="C18" i="8"/>
  <c r="C5" i="8"/>
  <c r="C14" i="8"/>
  <c r="C2" i="8"/>
  <c r="AF172" i="2"/>
  <c r="AJ227" i="2"/>
  <c r="AJ89" i="2"/>
  <c r="AJ69" i="2"/>
  <c r="AJ201" i="2"/>
  <c r="AF123" i="2"/>
  <c r="AF193" i="2"/>
  <c r="AF21" i="2"/>
  <c r="AF68" i="2"/>
  <c r="AF220" i="2"/>
  <c r="AF187" i="2"/>
  <c r="AJ29" i="2"/>
  <c r="AF156" i="2"/>
  <c r="AJ218" i="2"/>
  <c r="AF122" i="2"/>
  <c r="AF2" i="2"/>
  <c r="AF41" i="2"/>
  <c r="AJ75" i="2"/>
  <c r="AJ23" i="2"/>
  <c r="AF38" i="2"/>
  <c r="AJ112" i="2"/>
  <c r="AF103" i="2"/>
  <c r="AJ181" i="2"/>
  <c r="AF185" i="2"/>
  <c r="AF210" i="2"/>
  <c r="AJ114" i="2"/>
  <c r="AF195" i="2"/>
  <c r="AF3" i="2"/>
  <c r="AJ40" i="2"/>
  <c r="AJ160" i="2"/>
  <c r="AJ103" i="2"/>
  <c r="AJ169" i="2"/>
  <c r="AF12" i="2"/>
  <c r="AF173" i="2"/>
  <c r="AJ109" i="2"/>
  <c r="AF213" i="2"/>
  <c r="AF148" i="2"/>
  <c r="AJ225" i="2"/>
  <c r="AF132" i="2"/>
  <c r="AJ210" i="2"/>
  <c r="AF178" i="2"/>
  <c r="AF146" i="2"/>
  <c r="AF114" i="2"/>
  <c r="AJ74" i="2"/>
  <c r="AJ42" i="2"/>
  <c r="AF189" i="2"/>
  <c r="AF137" i="2"/>
  <c r="AF22" i="2"/>
  <c r="AF139" i="2"/>
  <c r="AJ195" i="2"/>
  <c r="AF163" i="2"/>
  <c r="AJ131" i="2"/>
  <c r="AJ67" i="2"/>
  <c r="AJ35" i="2"/>
  <c r="AJ3" i="2"/>
  <c r="AJ216" i="2"/>
  <c r="AJ136" i="2"/>
  <c r="AF24" i="2"/>
  <c r="AF183" i="2"/>
  <c r="AJ7" i="2"/>
  <c r="AF158" i="2"/>
  <c r="AJ30" i="2"/>
  <c r="AF179" i="2"/>
  <c r="AJ99" i="2"/>
  <c r="AJ224" i="2"/>
  <c r="AF144" i="2"/>
  <c r="AF104" i="2"/>
  <c r="AJ48" i="2"/>
  <c r="AJ143" i="2"/>
  <c r="AF87" i="2"/>
  <c r="AJ47" i="2"/>
  <c r="AF134" i="2"/>
  <c r="AJ14" i="2"/>
  <c r="AJ41" i="2"/>
  <c r="AF97" i="2"/>
  <c r="AJ173" i="2"/>
  <c r="AJ93" i="2"/>
  <c r="AF228" i="2"/>
  <c r="AJ148" i="2"/>
  <c r="AF145" i="2"/>
  <c r="AF202" i="2"/>
  <c r="AF170" i="2"/>
  <c r="AF138" i="2"/>
  <c r="AF106" i="2"/>
  <c r="AF74" i="2"/>
  <c r="AF34" i="2"/>
  <c r="AJ229" i="2"/>
  <c r="AF204" i="2"/>
  <c r="AF51" i="2"/>
  <c r="AF219" i="2"/>
  <c r="AF155" i="2"/>
  <c r="AF91" i="2"/>
  <c r="AF59" i="2"/>
  <c r="AF27" i="2"/>
  <c r="AJ200" i="2"/>
  <c r="AJ96" i="2"/>
  <c r="AJ24" i="2"/>
  <c r="AJ95" i="2"/>
  <c r="AF215" i="2"/>
  <c r="AF167" i="2"/>
  <c r="AF55" i="2"/>
  <c r="AF190" i="2"/>
  <c r="AF78" i="2"/>
  <c r="AF214" i="2"/>
  <c r="AJ119" i="2"/>
  <c r="AJ208" i="2"/>
  <c r="AJ144" i="2"/>
  <c r="AJ104" i="2"/>
  <c r="AF32" i="2"/>
  <c r="AF143" i="2"/>
  <c r="AJ87" i="2"/>
  <c r="AF47" i="2"/>
  <c r="AF14" i="2"/>
  <c r="AJ189" i="2"/>
  <c r="AF17" i="2"/>
  <c r="AJ186" i="2"/>
  <c r="AF82" i="2"/>
  <c r="AF133" i="2"/>
  <c r="AF169" i="2"/>
  <c r="AJ203" i="2"/>
  <c r="AJ107" i="2"/>
  <c r="AF152" i="2"/>
  <c r="AJ191" i="2"/>
  <c r="AF110" i="2"/>
  <c r="AF160" i="2"/>
  <c r="AJ64" i="2"/>
  <c r="AF63" i="2"/>
  <c r="AF109" i="2"/>
  <c r="AF13" i="2"/>
  <c r="AJ133" i="2"/>
  <c r="AJ146" i="2"/>
  <c r="AJ82" i="2"/>
  <c r="AF161" i="2"/>
  <c r="AF131" i="2"/>
  <c r="AF35" i="2"/>
  <c r="AJ152" i="2"/>
  <c r="AF7" i="2"/>
  <c r="AF86" i="2"/>
  <c r="AF150" i="2"/>
  <c r="AJ232" i="2"/>
  <c r="AF48" i="2"/>
  <c r="AF159" i="2"/>
  <c r="AJ63" i="2"/>
  <c r="AJ221" i="2"/>
  <c r="AJ165" i="2"/>
  <c r="AJ180" i="2"/>
  <c r="AF52" i="2"/>
  <c r="AF188" i="2"/>
  <c r="AJ202" i="2"/>
  <c r="AJ138" i="2"/>
  <c r="AF233" i="2"/>
  <c r="AF96" i="2"/>
  <c r="AJ219" i="2"/>
  <c r="AJ91" i="2"/>
  <c r="AJ27" i="2"/>
  <c r="AJ72" i="2"/>
  <c r="AJ127" i="2"/>
  <c r="AJ167" i="2"/>
  <c r="AF192" i="2"/>
  <c r="AF88" i="2"/>
  <c r="AF135" i="2"/>
  <c r="AJ31" i="2"/>
  <c r="AF6" i="2"/>
  <c r="AJ213" i="2"/>
  <c r="AF77" i="2"/>
  <c r="AJ52" i="2"/>
  <c r="AF217" i="2"/>
  <c r="AF194" i="2"/>
  <c r="AF130" i="2"/>
  <c r="AJ66" i="2"/>
  <c r="AF33" i="2"/>
  <c r="AJ233" i="2"/>
  <c r="AF136" i="2"/>
  <c r="AF208" i="2"/>
  <c r="AJ83" i="2"/>
  <c r="AF19" i="2"/>
  <c r="AF72" i="2"/>
  <c r="AF182" i="2"/>
  <c r="AF70" i="2"/>
  <c r="AJ128" i="2"/>
  <c r="AJ135" i="2"/>
  <c r="AF31" i="2"/>
  <c r="AJ230" i="2"/>
  <c r="AJ6" i="2"/>
  <c r="AJ13" i="2"/>
  <c r="AF205" i="2"/>
  <c r="AF141" i="2"/>
  <c r="AJ53" i="2"/>
  <c r="AF100" i="2"/>
  <c r="AF212" i="2"/>
  <c r="AJ84" i="2"/>
  <c r="AJ58" i="2"/>
  <c r="AJ194" i="2"/>
  <c r="AJ162" i="2"/>
  <c r="AJ130" i="2"/>
  <c r="AF90" i="2"/>
  <c r="AF58" i="2"/>
  <c r="AF18" i="2"/>
  <c r="AF61" i="2"/>
  <c r="AF201" i="2"/>
  <c r="AF73" i="2"/>
  <c r="AJ32" i="2"/>
  <c r="AF166" i="2"/>
  <c r="AF211" i="2"/>
  <c r="AJ115" i="2"/>
  <c r="AF83" i="2"/>
  <c r="AJ19" i="2"/>
  <c r="AF176" i="2"/>
  <c r="AF56" i="2"/>
  <c r="AJ8" i="2"/>
  <c r="AF207" i="2"/>
  <c r="AJ39" i="2"/>
  <c r="AF80" i="2"/>
  <c r="AF168" i="2"/>
  <c r="AF120" i="2"/>
  <c r="AJ80" i="2"/>
  <c r="AJ175" i="2"/>
  <c r="AF111" i="2"/>
  <c r="AF71" i="2"/>
  <c r="AJ15" i="2"/>
  <c r="AF222" i="2"/>
  <c r="AF54" i="2"/>
  <c r="AJ117" i="2"/>
  <c r="AJ116" i="2"/>
  <c r="AJ154" i="2"/>
  <c r="AF50" i="2"/>
  <c r="AJ171" i="2"/>
  <c r="AJ43" i="2"/>
  <c r="AF40" i="2"/>
  <c r="AF232" i="2"/>
  <c r="AJ159" i="2"/>
  <c r="AF142" i="2"/>
  <c r="AF60" i="2"/>
  <c r="AJ178" i="2"/>
  <c r="AF42" i="2"/>
  <c r="AJ163" i="2"/>
  <c r="AF67" i="2"/>
  <c r="AF216" i="2"/>
  <c r="AJ183" i="2"/>
  <c r="AF198" i="2"/>
  <c r="AF30" i="2"/>
  <c r="AF112" i="2"/>
  <c r="AF231" i="2"/>
  <c r="AF140" i="2"/>
  <c r="AJ85" i="2"/>
  <c r="AF28" i="2"/>
  <c r="AJ10" i="2"/>
  <c r="AJ170" i="2"/>
  <c r="AF98" i="2"/>
  <c r="AF66" i="2"/>
  <c r="AF105" i="2"/>
  <c r="AJ155" i="2"/>
  <c r="AJ59" i="2"/>
  <c r="AF184" i="2"/>
  <c r="AF16" i="2"/>
  <c r="AJ215" i="2"/>
  <c r="AJ55" i="2"/>
  <c r="AF126" i="2"/>
  <c r="AF128" i="2"/>
  <c r="AF199" i="2"/>
  <c r="AJ79" i="2"/>
  <c r="AF230" i="2"/>
  <c r="AF118" i="2"/>
  <c r="AF197" i="2"/>
  <c r="AJ149" i="2"/>
  <c r="AF57" i="2"/>
  <c r="AF180" i="2"/>
  <c r="AJ20" i="2"/>
  <c r="AF226" i="2"/>
  <c r="AF162" i="2"/>
  <c r="AJ98" i="2"/>
  <c r="AF26" i="2"/>
  <c r="AJ211" i="2"/>
  <c r="AF115" i="2"/>
  <c r="AJ184" i="2"/>
  <c r="AJ16" i="2"/>
  <c r="AJ207" i="2"/>
  <c r="AF39" i="2"/>
  <c r="AF102" i="2"/>
  <c r="AJ147" i="2"/>
  <c r="AJ192" i="2"/>
  <c r="AJ88" i="2"/>
  <c r="AJ199" i="2"/>
  <c r="AF79" i="2"/>
  <c r="AJ18" i="2"/>
  <c r="AJ197" i="2"/>
  <c r="AJ141" i="2"/>
  <c r="AF45" i="2"/>
  <c r="AJ101" i="2"/>
  <c r="AF113" i="2"/>
  <c r="AJ212" i="2"/>
  <c r="AF84" i="2"/>
  <c r="AJ125" i="2"/>
  <c r="AF4" i="2"/>
  <c r="AF218" i="2"/>
  <c r="AF186" i="2"/>
  <c r="AF154" i="2"/>
  <c r="AJ122" i="2"/>
  <c r="AJ90" i="2"/>
  <c r="AJ50" i="2"/>
  <c r="AF10" i="2"/>
  <c r="AF76" i="2"/>
  <c r="AJ151" i="2"/>
  <c r="AF200" i="2"/>
  <c r="AJ223" i="2"/>
  <c r="AF203" i="2"/>
  <c r="AF171" i="2"/>
  <c r="AF107" i="2"/>
  <c r="AF75" i="2"/>
  <c r="AF43" i="2"/>
  <c r="AJ176" i="2"/>
  <c r="AJ56" i="2"/>
  <c r="AF191" i="2"/>
  <c r="AF23" i="2"/>
  <c r="AF206" i="2"/>
  <c r="AF174" i="2"/>
  <c r="AF94" i="2"/>
  <c r="AF62" i="2"/>
  <c r="AJ46" i="2"/>
  <c r="AJ168" i="2"/>
  <c r="AJ120" i="2"/>
  <c r="AF64" i="2"/>
  <c r="AF175" i="2"/>
  <c r="AJ111" i="2"/>
  <c r="AJ71" i="2"/>
  <c r="AF15" i="2"/>
  <c r="G2" i="2" l="1"/>
  <c r="Z2" i="2" s="1"/>
  <c r="G233" i="2" l="1"/>
  <c r="Z233" i="2" s="1"/>
  <c r="G232" i="2"/>
  <c r="Z232" i="2" s="1"/>
  <c r="G231" i="2"/>
  <c r="Z231" i="2" s="1"/>
  <c r="G230" i="2"/>
  <c r="Z230" i="2" s="1"/>
  <c r="G229" i="2"/>
  <c r="Z229" i="2" s="1"/>
  <c r="G228" i="2"/>
  <c r="Z228" i="2" s="1"/>
  <c r="G227" i="2"/>
  <c r="Z227" i="2" s="1"/>
  <c r="G226" i="2"/>
  <c r="Z226" i="2" s="1"/>
  <c r="G225" i="2"/>
  <c r="Z225" i="2" s="1"/>
  <c r="G224" i="2"/>
  <c r="Z224" i="2" s="1"/>
  <c r="G223" i="2"/>
  <c r="Z223" i="2" s="1"/>
  <c r="G222" i="2"/>
  <c r="Z222" i="2" s="1"/>
  <c r="G221" i="2"/>
  <c r="Z221" i="2" s="1"/>
  <c r="G220" i="2"/>
  <c r="Z220" i="2" s="1"/>
  <c r="G219" i="2"/>
  <c r="Z219" i="2" s="1"/>
  <c r="G218" i="2"/>
  <c r="Z218" i="2" s="1"/>
  <c r="G217" i="2"/>
  <c r="Z217" i="2" s="1"/>
  <c r="G216" i="2"/>
  <c r="Z216" i="2" s="1"/>
  <c r="G215" i="2"/>
  <c r="Z215" i="2" s="1"/>
  <c r="G214" i="2"/>
  <c r="Z214" i="2" s="1"/>
  <c r="G213" i="2"/>
  <c r="Z213" i="2" s="1"/>
  <c r="G212" i="2"/>
  <c r="Z212" i="2" s="1"/>
  <c r="G211" i="2"/>
  <c r="Z211" i="2" s="1"/>
  <c r="G210" i="2"/>
  <c r="Z210" i="2" s="1"/>
  <c r="G209" i="2"/>
  <c r="Z209" i="2" s="1"/>
  <c r="G208" i="2"/>
  <c r="Z208" i="2" s="1"/>
  <c r="G207" i="2"/>
  <c r="Z207" i="2" s="1"/>
  <c r="G206" i="2"/>
  <c r="Z206" i="2" s="1"/>
  <c r="G205" i="2"/>
  <c r="Z205" i="2" s="1"/>
  <c r="G204" i="2"/>
  <c r="Z204" i="2" s="1"/>
  <c r="G203" i="2"/>
  <c r="Z203" i="2" s="1"/>
  <c r="G202" i="2"/>
  <c r="Z202" i="2" s="1"/>
  <c r="G201" i="2"/>
  <c r="Z201" i="2" s="1"/>
  <c r="G200" i="2"/>
  <c r="Z200" i="2" s="1"/>
  <c r="G199" i="2"/>
  <c r="Z199" i="2" s="1"/>
  <c r="G198" i="2"/>
  <c r="Z198" i="2" s="1"/>
  <c r="G197" i="2"/>
  <c r="Z197" i="2" s="1"/>
  <c r="G196" i="2"/>
  <c r="Z196" i="2" s="1"/>
  <c r="G195" i="2"/>
  <c r="Z195" i="2" s="1"/>
  <c r="G194" i="2"/>
  <c r="Z194" i="2" s="1"/>
  <c r="G193" i="2"/>
  <c r="Z193" i="2" s="1"/>
  <c r="G192" i="2"/>
  <c r="Z192" i="2" s="1"/>
  <c r="G191" i="2"/>
  <c r="Z191" i="2" s="1"/>
  <c r="G190" i="2"/>
  <c r="Z190" i="2" s="1"/>
  <c r="G189" i="2"/>
  <c r="Z189" i="2" s="1"/>
  <c r="G178" i="2"/>
  <c r="Z178" i="2" s="1"/>
  <c r="G176" i="2"/>
  <c r="Z176" i="2" s="1"/>
  <c r="G175" i="2"/>
  <c r="Z175" i="2" s="1"/>
  <c r="G163" i="2"/>
  <c r="Z163" i="2" s="1"/>
  <c r="G158" i="2"/>
  <c r="Z158" i="2" s="1"/>
  <c r="G157" i="2"/>
  <c r="Z157" i="2" s="1"/>
  <c r="G134" i="2"/>
  <c r="Z134" i="2" s="1"/>
  <c r="G133" i="2"/>
  <c r="Z133" i="2" s="1"/>
  <c r="G129" i="2"/>
  <c r="Z129" i="2" s="1"/>
  <c r="G127" i="2"/>
  <c r="Z127" i="2" s="1"/>
  <c r="G114" i="2"/>
  <c r="Z114" i="2" s="1"/>
  <c r="G106" i="2"/>
  <c r="Z106" i="2" s="1"/>
  <c r="G105" i="2"/>
  <c r="Z105" i="2" s="1"/>
  <c r="G98" i="2"/>
  <c r="Z98" i="2" s="1"/>
  <c r="G97" i="2"/>
  <c r="Z97" i="2" s="1"/>
  <c r="G89" i="2"/>
  <c r="Z89" i="2" s="1"/>
  <c r="G88" i="2"/>
  <c r="Z88" i="2" s="1"/>
  <c r="G85" i="2"/>
  <c r="Z85" i="2" s="1"/>
  <c r="G74" i="2"/>
  <c r="Z74" i="2" s="1"/>
  <c r="G73" i="2"/>
  <c r="Z73" i="2" s="1"/>
  <c r="G63" i="2"/>
  <c r="Z63" i="2" s="1"/>
  <c r="G60" i="2"/>
  <c r="Z60" i="2" s="1"/>
  <c r="G57" i="2"/>
  <c r="Z57" i="2" s="1"/>
  <c r="G53" i="2"/>
  <c r="Z53" i="2" s="1"/>
  <c r="G52" i="2"/>
  <c r="Z52" i="2" s="1"/>
  <c r="G51" i="2"/>
  <c r="Z51" i="2" s="1"/>
  <c r="G48" i="2"/>
  <c r="Z48" i="2" s="1"/>
  <c r="G46" i="2"/>
  <c r="Z46" i="2" s="1"/>
  <c r="G45" i="2"/>
  <c r="Z45" i="2" s="1"/>
  <c r="G42" i="2"/>
  <c r="Z42" i="2" s="1"/>
  <c r="G39" i="2"/>
  <c r="Z39" i="2" s="1"/>
  <c r="G36" i="2"/>
  <c r="Z36" i="2" s="1"/>
  <c r="G35" i="2"/>
  <c r="Z35" i="2" s="1"/>
  <c r="G33" i="2"/>
  <c r="Z33" i="2" s="1"/>
  <c r="G28" i="2"/>
  <c r="Z28" i="2" s="1"/>
  <c r="G22" i="2"/>
  <c r="Z22" i="2" s="1"/>
  <c r="G18" i="2"/>
  <c r="Z18" i="2" s="1"/>
  <c r="G15" i="2"/>
  <c r="Z15" i="2" s="1"/>
  <c r="G9" i="2"/>
  <c r="Z9" i="2" s="1"/>
  <c r="G4" i="2"/>
  <c r="Z4" i="2" s="1"/>
  <c r="G3" i="2"/>
  <c r="Z3" i="2" s="1"/>
  <c r="P129" i="2"/>
  <c r="P106" i="2"/>
  <c r="P89" i="2"/>
  <c r="P73" i="2"/>
  <c r="O231" i="2"/>
  <c r="Q223" i="2"/>
  <c r="P223" i="2"/>
  <c r="O223" i="2"/>
  <c r="Q217" i="2"/>
  <c r="P217" i="2"/>
  <c r="O217" i="2"/>
  <c r="Q210" i="2"/>
  <c r="P210" i="2"/>
  <c r="O210" i="2"/>
  <c r="Q204" i="2"/>
  <c r="P204" i="2"/>
  <c r="O204" i="2"/>
  <c r="Q199" i="2"/>
  <c r="P199" i="2"/>
  <c r="O199" i="2"/>
  <c r="Q190" i="2"/>
  <c r="P190" i="2"/>
  <c r="O190" i="2"/>
  <c r="Q173" i="2"/>
  <c r="P173" i="2"/>
  <c r="O173" i="2"/>
  <c r="Q151" i="2"/>
  <c r="P151" i="2"/>
  <c r="O151" i="2"/>
  <c r="Q129" i="2"/>
  <c r="O129" i="2"/>
  <c r="Q106" i="2"/>
  <c r="O106" i="2"/>
  <c r="Q89" i="2"/>
  <c r="O89" i="2"/>
  <c r="Q73" i="2"/>
  <c r="O73" i="2"/>
  <c r="Q58" i="2"/>
  <c r="P58" i="2"/>
  <c r="O58" i="2"/>
  <c r="Q52" i="2"/>
  <c r="P52" i="2"/>
  <c r="O52" i="2"/>
  <c r="Q46" i="2"/>
  <c r="P46" i="2"/>
  <c r="O46" i="2"/>
  <c r="Q37" i="2"/>
  <c r="P37" i="2"/>
  <c r="O37" i="2"/>
  <c r="Q29" i="2"/>
  <c r="P29" i="2"/>
  <c r="O29" i="2"/>
  <c r="Q16" i="2"/>
  <c r="P16" i="2"/>
  <c r="O16" i="2"/>
  <c r="P2" i="2"/>
  <c r="Q2" i="2"/>
  <c r="O2" i="2"/>
  <c r="M2" i="2"/>
  <c r="L2" i="2"/>
  <c r="M231" i="2"/>
  <c r="M223" i="2"/>
  <c r="M217" i="2"/>
  <c r="M210" i="2"/>
  <c r="M190" i="2"/>
  <c r="M173" i="2"/>
  <c r="M151" i="2"/>
  <c r="M129" i="2"/>
  <c r="M106" i="2"/>
  <c r="M89" i="2"/>
  <c r="M73" i="2"/>
  <c r="M58" i="2"/>
  <c r="M52" i="2"/>
  <c r="M46" i="2"/>
  <c r="M37" i="2"/>
  <c r="M29" i="2"/>
  <c r="M16" i="2"/>
  <c r="L173" i="2"/>
  <c r="L151" i="2"/>
  <c r="L129" i="2"/>
  <c r="L106" i="2"/>
  <c r="L89" i="2"/>
  <c r="L73" i="2"/>
  <c r="L58" i="2"/>
  <c r="L52" i="2"/>
  <c r="L46" i="2"/>
  <c r="L37" i="2"/>
  <c r="L29" i="2"/>
  <c r="L16" i="2"/>
  <c r="L231" i="2"/>
  <c r="L223" i="2"/>
  <c r="L217" i="2"/>
  <c r="L210" i="2"/>
  <c r="L190" i="2"/>
  <c r="K231" i="2"/>
  <c r="K223" i="2"/>
  <c r="K217" i="2"/>
  <c r="K210" i="2"/>
  <c r="K204" i="2"/>
  <c r="K199" i="2"/>
  <c r="K190" i="2"/>
  <c r="K173" i="2"/>
  <c r="K151" i="2"/>
  <c r="K129" i="2"/>
  <c r="K106" i="2"/>
  <c r="K89" i="2"/>
  <c r="K73" i="2"/>
  <c r="K58" i="2"/>
  <c r="K52" i="2"/>
  <c r="K46" i="2"/>
  <c r="K37" i="2"/>
  <c r="K29" i="2"/>
  <c r="K16" i="2"/>
  <c r="K2" i="2"/>
  <c r="R106" i="2" l="1"/>
  <c r="N129" i="2"/>
  <c r="N29" i="2"/>
  <c r="N58" i="2"/>
  <c r="N204" i="2"/>
  <c r="N16" i="2"/>
  <c r="N106" i="2"/>
  <c r="N217" i="2"/>
  <c r="N73" i="2"/>
  <c r="N2" i="2"/>
  <c r="N89" i="2"/>
  <c r="N210" i="2"/>
  <c r="N37" i="2"/>
  <c r="N46" i="2"/>
  <c r="N173" i="2"/>
  <c r="N151" i="2"/>
  <c r="N190" i="2"/>
  <c r="N223" i="2"/>
  <c r="N231" i="2"/>
  <c r="N52" i="2"/>
  <c r="N199" i="2"/>
  <c r="R37" i="2"/>
  <c r="R151" i="2"/>
  <c r="R2" i="2"/>
  <c r="R173" i="2"/>
  <c r="R204" i="2"/>
  <c r="R210" i="2"/>
  <c r="R58" i="2"/>
  <c r="R223" i="2"/>
  <c r="R29" i="2"/>
  <c r="R199" i="2"/>
  <c r="R52" i="2"/>
  <c r="R89" i="2"/>
  <c r="R217" i="2"/>
  <c r="R73" i="2"/>
  <c r="R16" i="2"/>
  <c r="R190" i="2"/>
  <c r="R231" i="2"/>
  <c r="R129" i="2"/>
  <c r="R46" i="2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arcel3Pivot!$F$34:$G$54" type="102" refreshedVersion="5" minRefreshableVersion="5">
    <extLst>
      <ext xmlns:x15="http://schemas.microsoft.com/office/spreadsheetml/2010/11/main" uri="{DE250136-89BD-433C-8126-D09CA5730AF9}">
        <x15:connection id="Rango-11050baa-79fa-47a2-b3bc-feae943bf055" autoDelete="1" usedByAddin="1">
          <x15:rangePr sourceName="_xlcn.WorksheetConnection_Parcel3PivotF34G541"/>
        </x15:connection>
      </ext>
    </extLst>
  </connection>
</connections>
</file>

<file path=xl/sharedStrings.xml><?xml version="1.0" encoding="utf-8"?>
<sst xmlns="http://schemas.openxmlformats.org/spreadsheetml/2006/main" count="505" uniqueCount="164">
  <si>
    <t>Tree No.</t>
  </si>
  <si>
    <t>Species</t>
  </si>
  <si>
    <t>DBH (cm)</t>
  </si>
  <si>
    <t>Height (m)</t>
  </si>
  <si>
    <t>Crown diam. (m)</t>
  </si>
  <si>
    <t>X</t>
  </si>
  <si>
    <t>Y</t>
  </si>
  <si>
    <t>15° 41' 7.5''</t>
  </si>
  <si>
    <r>
      <t>Sapot</t>
    </r>
    <r>
      <rPr>
        <sz val="11"/>
        <color theme="1"/>
        <rFont val="Times New Roman"/>
        <family val="1"/>
      </rPr>
      <t>ὁ</t>
    </r>
    <r>
      <rPr>
        <sz val="11"/>
        <color theme="1"/>
        <rFont val="Cambria"/>
        <family val="1"/>
        <scheme val="major"/>
      </rPr>
      <t>n</t>
    </r>
  </si>
  <si>
    <t>Rahatebien</t>
  </si>
  <si>
    <t>Tamarindo</t>
  </si>
  <si>
    <r>
      <t>88</t>
    </r>
    <r>
      <rPr>
        <sz val="10"/>
        <color theme="1"/>
        <rFont val="Cambria"/>
        <family val="1"/>
      </rPr>
      <t>° 3</t>
    </r>
    <r>
      <rPr>
        <sz val="10"/>
        <color theme="1"/>
        <rFont val="Cambria"/>
        <family val="1"/>
        <scheme val="major"/>
      </rPr>
      <t>8' 52.4''</t>
    </r>
  </si>
  <si>
    <t>15° 41' 7.0''</t>
  </si>
  <si>
    <t>San Juan</t>
  </si>
  <si>
    <r>
      <t>88</t>
    </r>
    <r>
      <rPr>
        <sz val="10"/>
        <color theme="1"/>
        <rFont val="Cambria"/>
        <family val="1"/>
      </rPr>
      <t>° 3</t>
    </r>
    <r>
      <rPr>
        <sz val="10"/>
        <color theme="1"/>
        <rFont val="Cambria"/>
        <family val="1"/>
        <scheme val="major"/>
      </rPr>
      <t>8' 51.0''</t>
    </r>
  </si>
  <si>
    <t>15° 41' 6.0''</t>
  </si>
  <si>
    <t>Agua Catillo</t>
  </si>
  <si>
    <r>
      <t>88</t>
    </r>
    <r>
      <rPr>
        <sz val="10"/>
        <color theme="1"/>
        <rFont val="Cambria"/>
        <family val="1"/>
      </rPr>
      <t>° 3</t>
    </r>
    <r>
      <rPr>
        <sz val="10"/>
        <color theme="1"/>
        <rFont val="Cambria"/>
        <family val="1"/>
        <scheme val="major"/>
      </rPr>
      <t>8' 49.9''</t>
    </r>
  </si>
  <si>
    <t>15° 41' 5.3''</t>
  </si>
  <si>
    <t>Palo Sangre</t>
  </si>
  <si>
    <t>Seiva</t>
  </si>
  <si>
    <r>
      <t>88</t>
    </r>
    <r>
      <rPr>
        <sz val="10"/>
        <color theme="1"/>
        <rFont val="Cambria"/>
        <family val="1"/>
      </rPr>
      <t>° 3</t>
    </r>
    <r>
      <rPr>
        <sz val="10"/>
        <color theme="1"/>
        <rFont val="Cambria"/>
        <family val="1"/>
        <scheme val="major"/>
      </rPr>
      <t>8' 48.3''</t>
    </r>
  </si>
  <si>
    <t>15° 41' 4.6''</t>
  </si>
  <si>
    <t>Santa Maria</t>
  </si>
  <si>
    <t>Chichicaste</t>
  </si>
  <si>
    <r>
      <t>88</t>
    </r>
    <r>
      <rPr>
        <sz val="10"/>
        <color theme="1"/>
        <rFont val="Cambria"/>
        <family val="1"/>
      </rPr>
      <t>° 3</t>
    </r>
    <r>
      <rPr>
        <sz val="10"/>
        <color theme="1"/>
        <rFont val="Cambria"/>
        <family val="1"/>
        <scheme val="major"/>
      </rPr>
      <t>8' 46.2''</t>
    </r>
  </si>
  <si>
    <t>15° 41' 5.2''</t>
  </si>
  <si>
    <t>Cedron</t>
  </si>
  <si>
    <t>Lloron</t>
  </si>
  <si>
    <t>15° 41' 7.2''</t>
  </si>
  <si>
    <t>15° 40' 59.6''</t>
  </si>
  <si>
    <t>Cola de pava</t>
  </si>
  <si>
    <t>88° 38' 53.6''</t>
  </si>
  <si>
    <t>Orgon</t>
  </si>
  <si>
    <t>Conacaste</t>
  </si>
  <si>
    <t>Guarumo</t>
  </si>
  <si>
    <t>Cedrillo</t>
  </si>
  <si>
    <t>88° 38' 56.4''</t>
  </si>
  <si>
    <t>15° 40' 56.8''</t>
  </si>
  <si>
    <t>Lagarto</t>
  </si>
  <si>
    <t>Matapalo</t>
  </si>
  <si>
    <t xml:space="preserve">Cacao de montaña </t>
  </si>
  <si>
    <t>88° 38' 59.6''</t>
  </si>
  <si>
    <t>15° 40' 59.9''</t>
  </si>
  <si>
    <t>Clico zap</t>
  </si>
  <si>
    <t>Chichipate</t>
  </si>
  <si>
    <t>Izote de montaña</t>
  </si>
  <si>
    <t>Chico zapote</t>
  </si>
  <si>
    <t>Columna de cocodrilo</t>
  </si>
  <si>
    <t>Zapotillo</t>
  </si>
  <si>
    <t>Sunsa</t>
  </si>
  <si>
    <t>88° 39' 3.2''</t>
  </si>
  <si>
    <t>15° 40' 59.2''</t>
  </si>
  <si>
    <t>Cacao de montaña</t>
  </si>
  <si>
    <t>Mano de leon</t>
  </si>
  <si>
    <t>Ceiba</t>
  </si>
  <si>
    <t>88° 39' 4.7''</t>
  </si>
  <si>
    <t>15° 41' 0.7''</t>
  </si>
  <si>
    <t>88° 38' 52.7''</t>
  </si>
  <si>
    <t>15° 41' 1.9''</t>
  </si>
  <si>
    <t>Garay</t>
  </si>
  <si>
    <t>Plumajillo</t>
  </si>
  <si>
    <t>88° 38' 42.3''</t>
  </si>
  <si>
    <t>88° 38' 41''</t>
  </si>
  <si>
    <t>15° 41' 0.8''</t>
  </si>
  <si>
    <t>Amapola</t>
  </si>
  <si>
    <t>Zapote</t>
  </si>
  <si>
    <t>88° 38' 43''</t>
  </si>
  <si>
    <t>15° 41' 6.5''</t>
  </si>
  <si>
    <t>15° 41' 4.7''</t>
  </si>
  <si>
    <t>88° 38' 49.9''</t>
  </si>
  <si>
    <t>15° 41' 1.5''</t>
  </si>
  <si>
    <t>Malaguate</t>
  </si>
  <si>
    <t xml:space="preserve">Santa  maria </t>
  </si>
  <si>
    <t>88° 38' 49.3''</t>
  </si>
  <si>
    <t>15° 41' 0.2''</t>
  </si>
  <si>
    <t>Santa maria</t>
  </si>
  <si>
    <t>88° 38' 46.3''</t>
  </si>
  <si>
    <t>15° 41' 2''</t>
  </si>
  <si>
    <r>
      <t>88</t>
    </r>
    <r>
      <rPr>
        <sz val="10"/>
        <color theme="1"/>
        <rFont val="Cambria"/>
        <family val="1"/>
      </rPr>
      <t>° 3</t>
    </r>
    <r>
      <rPr>
        <sz val="10"/>
        <color theme="1"/>
        <rFont val="Cambria"/>
        <family val="1"/>
        <scheme val="major"/>
      </rPr>
      <t>8' 54.7''</t>
    </r>
  </si>
  <si>
    <r>
      <t>88</t>
    </r>
    <r>
      <rPr>
        <sz val="10"/>
        <color theme="1"/>
        <rFont val="Cambria"/>
        <family val="1"/>
      </rPr>
      <t>° 3</t>
    </r>
    <r>
      <rPr>
        <sz val="10"/>
        <color theme="1"/>
        <rFont val="Cambria"/>
        <family val="1"/>
        <scheme val="major"/>
      </rPr>
      <t>8' 46.1''</t>
    </r>
  </si>
  <si>
    <t>88° 38' 44.3''</t>
  </si>
  <si>
    <t>Parcela</t>
  </si>
  <si>
    <t>XG</t>
  </si>
  <si>
    <t>XM</t>
  </si>
  <si>
    <t>XS</t>
  </si>
  <si>
    <t>YG</t>
  </si>
  <si>
    <t>YM</t>
  </si>
  <si>
    <t>YS</t>
  </si>
  <si>
    <t>Xlong</t>
  </si>
  <si>
    <t>Ylat</t>
  </si>
  <si>
    <t>Altura (m)</t>
  </si>
  <si>
    <t>XGTM</t>
  </si>
  <si>
    <t>YGTM</t>
  </si>
  <si>
    <t>Fuente</t>
  </si>
  <si>
    <t>Area_ha</t>
  </si>
  <si>
    <t>GARMIN Navegador</t>
  </si>
  <si>
    <t>Hoja</t>
  </si>
  <si>
    <t>Filtros</t>
  </si>
  <si>
    <t>Nro</t>
  </si>
  <si>
    <t>Árboles &lt; 10 cm de diámetro</t>
  </si>
  <si>
    <t>Cálculo de coordendas GTM</t>
  </si>
  <si>
    <t>Datos originales</t>
  </si>
  <si>
    <t>Datos ordenadas con bDatos generales</t>
  </si>
  <si>
    <t>Total general</t>
  </si>
  <si>
    <t>Calculo de C T/ha  ecuaciones A, UVG</t>
  </si>
  <si>
    <t>ORIGEN</t>
  </si>
  <si>
    <t>Ecuación para el calculo de biomasa</t>
  </si>
  <si>
    <t>CONIFERAS</t>
  </si>
  <si>
    <t>0.15991*DAP^2.32764</t>
  </si>
  <si>
    <t>LATIFOLIADO</t>
  </si>
  <si>
    <t>0.13657*DAP^2.38351</t>
  </si>
  <si>
    <t>MAX DAP DE ARBOLES</t>
  </si>
  <si>
    <t>FECHA DE RECOLECCIÓN DE DATOS</t>
  </si>
  <si>
    <t>AÑO</t>
  </si>
  <si>
    <t xml:space="preserve">Height (G) </t>
  </si>
  <si>
    <t>L=20m</t>
  </si>
  <si>
    <t>TIP_BOSQUE</t>
  </si>
  <si>
    <r>
      <t>TEST_DAP</t>
    </r>
    <r>
      <rPr>
        <b/>
        <sz val="11"/>
        <rFont val="Calibri"/>
        <family val="2"/>
      </rPr>
      <t>≥10cm</t>
    </r>
  </si>
  <si>
    <t>TEST_GENERAL</t>
  </si>
  <si>
    <t>AB</t>
  </si>
  <si>
    <t>B_kg</t>
  </si>
  <si>
    <t>BKg/ha</t>
  </si>
  <si>
    <t>tC/ha</t>
  </si>
  <si>
    <t>B_kg_E</t>
  </si>
  <si>
    <t>B_Kg/haE</t>
  </si>
  <si>
    <t>tC/haE</t>
  </si>
  <si>
    <t>ECUACION</t>
  </si>
  <si>
    <t>BASE1</t>
  </si>
  <si>
    <t>BASE2</t>
  </si>
  <si>
    <t>Suma de AB_ha</t>
  </si>
  <si>
    <t>Suma de AB</t>
  </si>
  <si>
    <t>Suma de B_kg</t>
  </si>
  <si>
    <t>Suma de BKg/ha</t>
  </si>
  <si>
    <t>Suma de tC</t>
  </si>
  <si>
    <t>Suma de tC/ha</t>
  </si>
  <si>
    <t>Suma de B_kg_E</t>
  </si>
  <si>
    <t>Suma de B_Kg/haE</t>
  </si>
  <si>
    <t>Suma de tCE</t>
  </si>
  <si>
    <t>Suma de tC/haE</t>
  </si>
  <si>
    <t>AREA_PARCELA_HA</t>
  </si>
  <si>
    <t>X_GTM</t>
  </si>
  <si>
    <t>Y_GTM</t>
  </si>
  <si>
    <t>FECHA_MEDICION</t>
  </si>
  <si>
    <t>Dirección del documento:</t>
  </si>
  <si>
    <t>Dirección completa:</t>
  </si>
  <si>
    <t>Nombre completo del documento:</t>
  </si>
  <si>
    <t>Nombre del documento:</t>
  </si>
  <si>
    <t>Nombre de la hoja:</t>
  </si>
  <si>
    <t>PARCELA</t>
  </si>
  <si>
    <t>Nombre_DOCUMENTO</t>
  </si>
  <si>
    <t>AREA_PAR_HA</t>
  </si>
  <si>
    <t>AB_ha</t>
  </si>
  <si>
    <t>tC</t>
  </si>
  <si>
    <t>tCE</t>
  </si>
  <si>
    <t>DEJAR</t>
  </si>
  <si>
    <t>3PIVOT</t>
  </si>
  <si>
    <t>DATOS FILTRADOS "DEJAR"</t>
  </si>
  <si>
    <t>4FINAL</t>
  </si>
  <si>
    <t>CONAP_SAN_GIL</t>
  </si>
  <si>
    <t>UVG_B_Kg</t>
  </si>
  <si>
    <t>n</t>
  </si>
  <si>
    <t>TEST_GENERAL_M2</t>
  </si>
  <si>
    <t>Fracción de carbono IPCC (2006)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</si>
</sst>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1" fillId="0" borderId="1" xfId="0" applyNumberFormat="1" applyFont="1" applyBorder="1"/>
    <xf numFmtId="1" fontId="1" fillId="0" borderId="1" xfId="0" applyNumberFormat="1" applyFont="1" applyBorder="1"/>
    <xf numFmtId="0" fontId="2" fillId="2" borderId="3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/>
    <xf numFmtId="1" fontId="1" fillId="0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1" fontId="1" fillId="0" borderId="0" xfId="0" applyNumberFormat="1" applyFont="1"/>
    <xf numFmtId="0" fontId="6" fillId="2" borderId="1" xfId="0" applyFont="1" applyFill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Border="1" applyAlignment="1"/>
    <xf numFmtId="0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Border="1"/>
    <xf numFmtId="1" fontId="6" fillId="0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/>
    <xf numFmtId="0" fontId="7" fillId="0" borderId="1" xfId="0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9" fillId="0" borderId="8" xfId="0" applyFont="1" applyBorder="1"/>
    <xf numFmtId="0" fontId="9" fillId="0" borderId="9" xfId="0" applyFont="1" applyBorder="1" applyAlignment="1">
      <alignment horizontal="center"/>
    </xf>
    <xf numFmtId="0" fontId="9" fillId="0" borderId="10" xfId="0" applyFont="1" applyBorder="1"/>
    <xf numFmtId="0" fontId="0" fillId="7" borderId="11" xfId="0" applyFill="1" applyBorder="1"/>
    <xf numFmtId="0" fontId="0" fillId="7" borderId="0" xfId="0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6" borderId="13" xfId="0" applyFill="1" applyBorder="1"/>
    <xf numFmtId="0" fontId="0" fillId="6" borderId="7" xfId="0" applyFill="1" applyBorder="1" applyAlignment="1">
      <alignment horizontal="center"/>
    </xf>
    <xf numFmtId="0" fontId="0" fillId="6" borderId="14" xfId="0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 wrapText="1"/>
    </xf>
    <xf numFmtId="0" fontId="7" fillId="0" borderId="1" xfId="0" applyFont="1" applyBorder="1" applyAlignment="1"/>
    <xf numFmtId="0" fontId="12" fillId="9" borderId="15" xfId="0" applyFont="1" applyFill="1" applyBorder="1" applyAlignment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</xf>
    <xf numFmtId="164" fontId="12" fillId="9" borderId="15" xfId="0" applyNumberFormat="1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 wrapText="1"/>
    </xf>
    <xf numFmtId="0" fontId="10" fillId="11" borderId="15" xfId="0" applyFont="1" applyFill="1" applyBorder="1" applyAlignment="1">
      <alignment horizontal="center" vertical="center" wrapText="1"/>
    </xf>
    <xf numFmtId="0" fontId="0" fillId="0" borderId="15" xfId="0" applyBorder="1"/>
    <xf numFmtId="164" fontId="12" fillId="0" borderId="15" xfId="0" applyNumberFormat="1" applyFont="1" applyFill="1" applyBorder="1" applyAlignment="1">
      <alignment horizontal="center" vertical="center"/>
    </xf>
    <xf numFmtId="0" fontId="0" fillId="0" borderId="15" xfId="0" applyFill="1" applyBorder="1"/>
    <xf numFmtId="0" fontId="0" fillId="0" borderId="0" xfId="0" pivotButton="1"/>
    <xf numFmtId="0" fontId="0" fillId="0" borderId="1" xfId="0" applyBorder="1" applyAlignment="1">
      <alignment vertical="center" wrapText="1"/>
    </xf>
    <xf numFmtId="0" fontId="9" fillId="0" borderId="0" xfId="0" applyFont="1"/>
    <xf numFmtId="0" fontId="13" fillId="0" borderId="0" xfId="0" applyFont="1"/>
    <xf numFmtId="0" fontId="12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16" xfId="0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cel3Pivo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cel3Pivot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arcels_San%20Gil_Individual2016.01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821.434750347224" createdVersion="6" refreshedVersion="6" minRefreshableVersion="3" recordCount="232">
  <cacheSource type="worksheet">
    <worksheetSource ref="A1:AM233" sheet="2BASE" r:id="rId2"/>
  </cacheSource>
  <cacheFields count="39">
    <cacheField name="Parcela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ree No." numFmtId="0">
      <sharedItems containsSemiMixedTypes="0" containsString="0" containsNumber="1" containsInteger="1" minValue="1" maxValue="24"/>
    </cacheField>
    <cacheField name="Species" numFmtId="0">
      <sharedItems containsMixedTypes="1" containsNumber="1" containsInteger="1" minValue="0" maxValue="0"/>
    </cacheField>
    <cacheField name="DBH (cm)" numFmtId="2">
      <sharedItems containsSemiMixedTypes="0" containsString="0" containsNumber="1" minValue="4.3" maxValue="144.69999999999999"/>
    </cacheField>
    <cacheField name="Height (G) " numFmtId="1">
      <sharedItems containsSemiMixedTypes="0" containsString="0" containsNumber="1" containsInteger="1" minValue="0" maxValue="110"/>
    </cacheField>
    <cacheField name="L=20m" numFmtId="1">
      <sharedItems containsSemiMixedTypes="0" containsString="0" containsNumber="1" containsInteger="1" minValue="0" maxValue="145"/>
    </cacheField>
    <cacheField name="Altura (m)" numFmtId="0">
      <sharedItems containsString="0" containsBlank="1" containsNumber="1" minValue="-283.55059444431919" maxValue="3.264910455523815E+17"/>
    </cacheField>
    <cacheField name="Crown diam. (m)" numFmtId="2">
      <sharedItems containsSemiMixedTypes="0" containsString="0" containsNumber="1" minValue="0" maxValue="16"/>
    </cacheField>
    <cacheField name="X" numFmtId="0">
      <sharedItems containsMixedTypes="1" containsNumber="1" containsInteger="1" minValue="0" maxValue="0"/>
    </cacheField>
    <cacheField name="Y" numFmtId="0">
      <sharedItems containsMixedTypes="1" containsNumber="1" containsInteger="1" minValue="0" maxValue="0"/>
    </cacheField>
    <cacheField name="XG" numFmtId="0">
      <sharedItems containsBlank="1"/>
    </cacheField>
    <cacheField name="XM" numFmtId="0">
      <sharedItems containsBlank="1"/>
    </cacheField>
    <cacheField name="XS" numFmtId="0">
      <sharedItems containsBlank="1"/>
    </cacheField>
    <cacheField name="Xlong" numFmtId="0">
      <sharedItems containsString="0" containsBlank="1" containsNumber="1" minValue="-88.633609259259259" maxValue="-88.050014814814816"/>
    </cacheField>
    <cacheField name="YG" numFmtId="0">
      <sharedItems containsBlank="1"/>
    </cacheField>
    <cacheField name="YM" numFmtId="0">
      <sharedItems containsBlank="1"/>
    </cacheField>
    <cacheField name="YS" numFmtId="0">
      <sharedItems containsBlank="1"/>
    </cacheField>
    <cacheField name="Ylat" numFmtId="0">
      <sharedItems containsString="0" containsBlank="1" containsNumber="1" minValue="15.66692962962963" maxValue="15.683368055555556"/>
    </cacheField>
    <cacheField name="XGTM" numFmtId="0">
      <sharedItems containsString="0" containsBlank="1" containsNumber="1" minValue="698310.09492399998" maxValue="700088.93505700002"/>
    </cacheField>
    <cacheField name="YGTM" numFmtId="0">
      <sharedItems containsString="0" containsBlank="1" containsNumber="1" minValue="1733306.19408" maxValue="1735139.91946"/>
    </cacheField>
    <cacheField name="Fuente" numFmtId="0">
      <sharedItems/>
    </cacheField>
    <cacheField name="Area_ha" numFmtId="0">
      <sharedItems containsSemiMixedTypes="0" containsString="0" containsNumber="1" minValue="0.05" maxValue="0.05"/>
    </cacheField>
    <cacheField name="AÑO" numFmtId="0">
      <sharedItems containsSemiMixedTypes="0" containsString="0" containsNumber="1" containsInteger="1" minValue="2014" maxValue="2014"/>
    </cacheField>
    <cacheField name="TIP_BOSQUE" numFmtId="0">
      <sharedItems/>
    </cacheField>
    <cacheField name="TEST_DAP≥10cm" numFmtId="0">
      <sharedItems/>
    </cacheField>
    <cacheField name="TEST_TEST_DAP≥10cm" numFmtId="0">
      <sharedItems/>
    </cacheField>
    <cacheField name="TEST_GENERAL" numFmtId="0">
      <sharedItems count="2">
        <s v="DEJAR"/>
        <s v="DEPURAR"/>
      </sharedItems>
    </cacheField>
    <cacheField name="TEST_GENERAL_M2" numFmtId="0">
      <sharedItems/>
    </cacheField>
    <cacheField name="AB" numFmtId="164">
      <sharedItems containsSemiMixedTypes="0" containsString="0" containsNumber="1" minValue="1.4522012041218817E-3" maxValue="1.6444737431050473"/>
    </cacheField>
    <cacheField name="AB_ha" numFmtId="164">
      <sharedItems containsSemiMixedTypes="0" containsString="0" containsNumber="1" minValue="2.9044024082437631E-2" maxValue="32.889474862100947"/>
    </cacheField>
    <cacheField name="B_kg" numFmtId="164">
      <sharedItems containsSemiMixedTypes="0" containsString="0" containsNumber="1" minValue="4.4180813470183633" maxValue="19268.755144273386"/>
    </cacheField>
    <cacheField name="BKg/ha" numFmtId="164">
      <sharedItems containsSemiMixedTypes="0" containsString="0" containsNumber="1" minValue="88.361626940367259" maxValue="385375.1028854677"/>
    </cacheField>
    <cacheField name="tC" numFmtId="164">
      <sharedItems containsSemiMixedTypes="0" containsString="0" containsNumber="1" minValue="2.0764982330986306E-3" maxValue="9.056314917808491"/>
    </cacheField>
    <cacheField name="tC/ha" numFmtId="164">
      <sharedItems containsSemiMixedTypes="0" containsString="0" containsNumber="1" minValue="4.1529964661972604E-2" maxValue="181.1262983561698"/>
    </cacheField>
    <cacheField name="B_kg_E" numFmtId="0">
      <sharedItems containsSemiMixedTypes="0" containsString="0" containsNumber="1" minValue="4.4180813470183633" maxValue="4678.370186681871"/>
    </cacheField>
    <cacheField name="B_Kg/haE" numFmtId="164">
      <sharedItems containsSemiMixedTypes="0" containsString="0" containsNumber="1" minValue="88.361626940367259" maxValue="93567.403733637417"/>
    </cacheField>
    <cacheField name="tCE" numFmtId="164">
      <sharedItems containsSemiMixedTypes="0" containsString="0" containsNumber="1" minValue="2.0764982330986306E-3" maxValue="2.1988339877404792"/>
    </cacheField>
    <cacheField name="tC/haE" numFmtId="164">
      <sharedItems containsSemiMixedTypes="0" containsString="0" containsNumber="1" minValue="4.1529964661972604E-2" maxValue="43.976679754809588"/>
    </cacheField>
    <cacheField name="ECUAC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2">
  <r>
    <x v="0"/>
    <n v="1"/>
    <s v="Sapotὁn"/>
    <n v="142"/>
    <n v="50"/>
    <n v="110"/>
    <n v="-31.114476537208247"/>
    <n v="10"/>
    <s v="88° 38' 54.7''"/>
    <s v="15° 41' 7.5''"/>
    <s v="88"/>
    <s v="38"/>
    <s v="54.7"/>
    <n v="-88.633586574074073"/>
    <s v="15"/>
    <s v="41"/>
    <s v=" 7.5"/>
    <n v="15.683368055555556"/>
    <n v="700072.38227299997"/>
    <n v="1735139.8652300001"/>
    <s v="GARMIN Navegador"/>
    <n v="0.05"/>
    <n v="2014"/>
    <s v="LATIFOLIADO"/>
    <s v="DEJAR"/>
    <s v="DEJAR"/>
    <x v="0"/>
    <s v="DEJAR"/>
    <n v="1.5836768566746147"/>
    <n v="31.673537133492292"/>
    <n v="18422.819672392496"/>
    <n v="368456.3934478499"/>
    <n v="8.6587252460244724"/>
    <n v="173.17450492048945"/>
    <n v="4678.370186681871"/>
    <n v="93567.403733637417"/>
    <n v="2.1988339877404792"/>
    <n v="43.976679754809588"/>
    <s v="UVG_B_Kg"/>
  </r>
  <r>
    <x v="0"/>
    <n v="2"/>
    <n v="0"/>
    <n v="31.15"/>
    <n v="55"/>
    <n v="80"/>
    <n v="141.98859652719642"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7.6208950940322054E-2"/>
    <n v="1.524179018806441"/>
    <n v="495.48157398321587"/>
    <n v="9909.6314796643164"/>
    <n v="0.23287633977211145"/>
    <n v="4.6575267954422284"/>
    <n v="495.48157398321587"/>
    <n v="9909.6314796643164"/>
    <n v="0.23287633977211145"/>
    <n v="4.6575267954422284"/>
    <s v="UVG_B_Kg"/>
  </r>
  <r>
    <x v="0"/>
    <n v="3"/>
    <n v="0"/>
    <n v="20.5"/>
    <n v="60"/>
    <n v="103"/>
    <n v="-51.98850133430556"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3.3006357816777757E-2"/>
    <n v="0.66012715633555508"/>
    <n v="182.78213876481104"/>
    <n v="3655.6427752962204"/>
    <n v="8.5907605219461183E-2"/>
    <n v="1.7181521043892234"/>
    <n v="182.78213876481104"/>
    <n v="3655.6427752962204"/>
    <n v="8.5907605219461183E-2"/>
    <n v="1.7181521043892234"/>
    <s v="UVG_B_Kg"/>
  </r>
  <r>
    <x v="0"/>
    <n v="4"/>
    <n v="0"/>
    <n v="17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2.2698006922186261E-2"/>
    <n v="0.45396013844372518"/>
    <n v="116.98835060940742"/>
    <n v="2339.7670121881483"/>
    <n v="5.4984524786421483E-2"/>
    <n v="1.0996904957284297"/>
    <n v="116.98835060940742"/>
    <n v="2339.7670121881483"/>
    <n v="5.4984524786421483E-2"/>
    <n v="1.0996904957284297"/>
    <s v="UVG_B_Kg"/>
  </r>
  <r>
    <x v="0"/>
    <n v="5"/>
    <n v="0"/>
    <n v="13.5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4313881527918496E-2"/>
    <n v="0.28627763055836991"/>
    <n v="67.533172179763213"/>
    <n v="1350.6634435952642"/>
    <n v="3.1740590924488707E-2"/>
    <n v="0.63481181848977419"/>
    <n v="67.533172179763213"/>
    <n v="1350.6634435952642"/>
    <n v="3.1740590924488707E-2"/>
    <n v="0.63481181848977419"/>
    <s v="UVG_B_Kg"/>
  </r>
  <r>
    <x v="0"/>
    <n v="6"/>
    <n v="0"/>
    <n v="135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4313881527918497"/>
    <n v="28.627763055836994"/>
    <n v="16331.54041458762"/>
    <n v="326630.80829175236"/>
    <n v="7.6758239948561817"/>
    <n v="153.51647989712362"/>
    <n v="4678.370186681871"/>
    <n v="93567.403733637417"/>
    <n v="2.1988339877404792"/>
    <n v="43.976679754809588"/>
    <s v="UVG_B_Kg"/>
  </r>
  <r>
    <x v="0"/>
    <n v="7"/>
    <n v="0"/>
    <n v="37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0752100856911066"/>
    <n v="2.1504201713822133"/>
    <n v="746.75785703016243"/>
    <n v="14935.157140603247"/>
    <n v="0.3509761928041763"/>
    <n v="7.0195238560835254"/>
    <n v="746.75785703016243"/>
    <n v="14935.157140603247"/>
    <n v="0.3509761928041763"/>
    <n v="7.0195238560835254"/>
    <s v="UVG_B_Kg"/>
  </r>
  <r>
    <x v="0"/>
    <n v="8"/>
    <s v="Rahatebien"/>
    <n v="86"/>
    <n v="60"/>
    <n v="90"/>
    <n v="3.264910455523815E+17"/>
    <n v="8.6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58088048164875272"/>
    <n v="11.617609632975054"/>
    <n v="5575.0878207290734"/>
    <n v="111501.75641458147"/>
    <n v="2.6202912757426642"/>
    <n v="52.405825514853284"/>
    <n v="4678.370186681871"/>
    <n v="93567.403733637417"/>
    <n v="2.1988339877404792"/>
    <n v="43.976679754809588"/>
    <s v="UVG_B_Kg"/>
  </r>
  <r>
    <x v="0"/>
    <n v="9"/>
    <s v="Tamarindo"/>
    <n v="49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8857409903172731"/>
    <n v="3.7714819806345461"/>
    <n v="1458.6616605664788"/>
    <n v="29173.233211329574"/>
    <n v="0.68557098046624498"/>
    <n v="13.711419609324899"/>
    <n v="1458.6616605664788"/>
    <n v="29173.233211329574"/>
    <n v="0.68557098046624498"/>
    <n v="13.711419609324899"/>
    <s v="UVG_B_Kg"/>
  </r>
  <r>
    <x v="0"/>
    <n v="10"/>
    <n v="0"/>
    <n v="14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5393804002589988E-2"/>
    <n v="0.30787608005179973"/>
    <n v="73.64833681845144"/>
    <n v="1472.9667363690287"/>
    <n v="3.4614718304672172E-2"/>
    <n v="0.69229436609344341"/>
    <n v="73.64833681845144"/>
    <n v="1472.9667363690287"/>
    <n v="3.4614718304672172E-2"/>
    <n v="0.69229436609344341"/>
    <s v="UVG_B_Kg"/>
  </r>
  <r>
    <x v="0"/>
    <n v="11"/>
    <n v="0"/>
    <n v="24.5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4.7143524757931828E-2"/>
    <n v="0.94287049515863652"/>
    <n v="279.54167502677348"/>
    <n v="5590.8335005354693"/>
    <n v="0.13138458726258351"/>
    <n v="2.6276917452516702"/>
    <n v="279.54167502677348"/>
    <n v="5590.8335005354693"/>
    <n v="0.13138458726258351"/>
    <n v="2.6276917452516702"/>
    <s v="UVG_B_Kg"/>
  </r>
  <r>
    <x v="0"/>
    <n v="12"/>
    <n v="0"/>
    <n v="15.5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8869190875623696E-2"/>
    <n v="0.37738381751247391"/>
    <n v="93.869134877908024"/>
    <n v="1877.3826975581603"/>
    <n v="4.4118493392616774E-2"/>
    <n v="0.88236986785233529"/>
    <n v="93.869134877908024"/>
    <n v="1877.3826975581603"/>
    <n v="4.4118493392616774E-2"/>
    <n v="0.88236986785233529"/>
    <s v="UVG_B_Kg"/>
  </r>
  <r>
    <x v="0"/>
    <n v="13"/>
    <n v="0"/>
    <n v="16.5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2.1382464998495533E-2"/>
    <n v="0.42764929996991063"/>
    <n v="108.95331919183752"/>
    <n v="2179.0663838367504"/>
    <n v="5.1208060020163634E-2"/>
    <n v="1.0241612004032727"/>
    <n v="108.95331919183752"/>
    <n v="2179.0663838367504"/>
    <n v="5.1208060020163634E-2"/>
    <n v="1.0241612004032727"/>
    <s v="UVG_B_Kg"/>
  </r>
  <r>
    <x v="1"/>
    <n v="1"/>
    <s v="San Juan"/>
    <n v="58"/>
    <n v="55"/>
    <n v="140"/>
    <n v="11.78096751129668"/>
    <n v="11.5"/>
    <s v="X"/>
    <s v="Y"/>
    <m/>
    <m/>
    <m/>
    <m/>
    <m/>
    <m/>
    <m/>
    <m/>
    <m/>
    <m/>
    <s v="GARMIN Navegador"/>
    <n v="0.05"/>
    <n v="2014"/>
    <s v="LATIFOLIADO"/>
    <s v="DEJAR"/>
    <s v="DEJAR"/>
    <x v="0"/>
    <s v="DEJAR"/>
    <n v="0.26420794216690158"/>
    <n v="5.2841588433380311"/>
    <n v="2180.2363008097436"/>
    <n v="43604.726016194872"/>
    <n v="1.0247110613805794"/>
    <n v="20.49422122761159"/>
    <n v="2180.2363008097436"/>
    <n v="43604.726016194872"/>
    <n v="1.0247110613805794"/>
    <n v="20.49422122761159"/>
    <s v="UVG_B_Kg"/>
  </r>
  <r>
    <x v="1"/>
    <n v="2"/>
    <n v="0"/>
    <n v="14"/>
    <n v="0"/>
    <n v="0"/>
    <m/>
    <n v="0"/>
    <s v="88° 38' 52.4''"/>
    <s v="15° 41' 7.0''"/>
    <s v="88"/>
    <s v="38"/>
    <s v="52.4"/>
    <n v="-88.633575925925925"/>
    <s v="15"/>
    <s v="41"/>
    <s v=" 7.0"/>
    <n v="15.68336574074074"/>
    <n v="700073.52631800005"/>
    <n v="1735139.6190800001"/>
    <s v="GARMIN Navegador"/>
    <n v="0.05"/>
    <n v="2014"/>
    <s v="LATIFOLIADO"/>
    <s v="DEJAR"/>
    <s v="DEJAR"/>
    <x v="0"/>
    <s v="DEJAR"/>
    <n v="1.5393804002589988E-2"/>
    <n v="0.30787608005179973"/>
    <n v="73.64833681845144"/>
    <n v="1472.9667363690287"/>
    <n v="3.4614718304672172E-2"/>
    <n v="0.69229436609344341"/>
    <n v="73.64833681845144"/>
    <n v="1472.9667363690287"/>
    <n v="3.4614718304672172E-2"/>
    <n v="0.69229436609344341"/>
    <s v="UVG_B_Kg"/>
  </r>
  <r>
    <x v="1"/>
    <n v="3"/>
    <n v="0"/>
    <n v="32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8.0424771931898703E-2"/>
    <n v="1.608495438637974"/>
    <n v="528.31791084648671"/>
    <n v="10566.358216929733"/>
    <n v="0.24830941809784873"/>
    <n v="4.9661883619569744"/>
    <n v="528.31791084648671"/>
    <n v="10566.358216929733"/>
    <n v="0.24830941809784873"/>
    <n v="4.9661883619569744"/>
    <s v="UVG_B_Kg"/>
  </r>
  <r>
    <x v="1"/>
    <n v="4"/>
    <s v="Tamarindo"/>
    <n v="33"/>
    <n v="60"/>
    <n v="120"/>
    <n v="0"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8.5529859993982132E-2"/>
    <n v="1.7105971998796425"/>
    <n v="568.52356444302654"/>
    <n v="11370.47128886053"/>
    <n v="0.26720607528822243"/>
    <n v="5.3441215057644493"/>
    <n v="568.52356444302654"/>
    <n v="11370.47128886053"/>
    <n v="0.26720607528822243"/>
    <n v="5.3441215057644493"/>
    <s v="UVG_B_Kg"/>
  </r>
  <r>
    <x v="1"/>
    <n v="5"/>
    <n v="0"/>
    <n v="28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6.1575216010359951E-2"/>
    <n v="1.2315043202071989"/>
    <n v="384.30049927715726"/>
    <n v="7686.0099855431445"/>
    <n v="0.18062123466026389"/>
    <n v="3.6124246932052775"/>
    <n v="384.30049927715726"/>
    <n v="7686.0099855431445"/>
    <n v="0.18062123466026389"/>
    <n v="3.6124246932052775"/>
    <s v="UVG_B_Kg"/>
  </r>
  <r>
    <x v="1"/>
    <n v="6"/>
    <n v="0"/>
    <n v="30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7.0685834705770348E-2"/>
    <n v="1.4137166941154069"/>
    <n v="452.98997539791907"/>
    <n v="9059.7995079583816"/>
    <n v="0.21290528843702194"/>
    <n v="4.2581057687404389"/>
    <n v="452.98997539791907"/>
    <n v="9059.7995079583816"/>
    <n v="0.21290528843702194"/>
    <n v="4.2581057687404389"/>
    <s v="UVG_B_Kg"/>
  </r>
  <r>
    <x v="1"/>
    <n v="7"/>
    <n v="0"/>
    <n v="29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6.6051985541725394E-2"/>
    <n v="1.3210397108345078"/>
    <n v="417.82609631752575"/>
    <n v="8356.5219263505151"/>
    <n v="0.1963782652692371"/>
    <n v="3.9275653053847419"/>
    <n v="417.82609631752575"/>
    <n v="8356.5219263505151"/>
    <n v="0.1963782652692371"/>
    <n v="3.9275653053847419"/>
    <s v="UVG_B_Kg"/>
  </r>
  <r>
    <x v="1"/>
    <n v="8"/>
    <n v="0"/>
    <n v="70"/>
    <n v="50"/>
    <n v="140"/>
    <n v="7.0530792283385928"/>
    <n v="8.7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38484510006474959"/>
    <n v="7.6969020012949914"/>
    <n v="3413.2251636463757"/>
    <n v="68264.503272927512"/>
    <n v="1.6042158269137965"/>
    <n v="32.084316538275928"/>
    <n v="3413.2251636463757"/>
    <n v="68264.503272927512"/>
    <n v="1.6042158269137965"/>
    <n v="32.084316538275928"/>
    <s v="UVG_B_Kg"/>
  </r>
  <r>
    <x v="1"/>
    <n v="9"/>
    <n v="0"/>
    <n v="42.5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4186254326366407"/>
    <n v="2.8372508652732811"/>
    <n v="1039.0503861030206"/>
    <n v="20781.007722060411"/>
    <n v="0.48835368146841968"/>
    <n v="9.7670736293683937"/>
    <n v="1039.0503861030206"/>
    <n v="20781.007722060411"/>
    <n v="0.48835368146841968"/>
    <n v="9.7670736293683937"/>
    <s v="UVG_B_Kg"/>
  </r>
  <r>
    <x v="1"/>
    <n v="10"/>
    <n v="0"/>
    <n v="68.5"/>
    <n v="0"/>
    <n v="0"/>
    <m/>
    <n v="14.9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3685284532201677"/>
    <n v="7.3705690644033535"/>
    <n v="3241.4710220184052"/>
    <n v="64829.4204403681"/>
    <n v="1.5234913803486503"/>
    <n v="30.469827606973002"/>
    <n v="3241.4710220184052"/>
    <n v="64829.4204403681"/>
    <n v="1.5234913803486503"/>
    <n v="30.469827606973002"/>
    <s v="UVG_B_Kg"/>
  </r>
  <r>
    <x v="1"/>
    <n v="11"/>
    <n v="0"/>
    <n v="59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27339710067865169"/>
    <n v="5.4679420135730332"/>
    <n v="2270.9040648267419"/>
    <n v="45418.081296534838"/>
    <n v="1.0673249104685687"/>
    <n v="21.346498209371372"/>
    <n v="2270.9040648267419"/>
    <n v="45418.081296534838"/>
    <n v="1.0673249104685687"/>
    <n v="21.346498209371372"/>
    <s v="UVG_B_Kg"/>
  </r>
  <r>
    <x v="1"/>
    <n v="12"/>
    <n v="0"/>
    <n v="40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2566370614359174"/>
    <n v="2.5132741228718345"/>
    <n v="899.25180732127308"/>
    <n v="17985.03614642546"/>
    <n v="0.42264834944099833"/>
    <n v="8.4529669888199663"/>
    <n v="899.25180732127308"/>
    <n v="17985.03614642546"/>
    <n v="0.42264834944099833"/>
    <n v="8.4529669888199663"/>
    <s v="UVG_B_Kg"/>
  </r>
  <r>
    <x v="1"/>
    <n v="13"/>
    <n v="0"/>
    <n v="22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3.8013271108436497E-2"/>
    <n v="0.76026542216872994"/>
    <n v="216.2883827856152"/>
    <n v="4325.7676557123041"/>
    <n v="0.10165553990923913"/>
    <n v="2.0331107981847829"/>
    <n v="216.2883827856152"/>
    <n v="4325.7676557123041"/>
    <n v="0.10165553990923913"/>
    <n v="2.0331107981847829"/>
    <s v="UVG_B_Kg"/>
  </r>
  <r>
    <x v="2"/>
    <n v="1"/>
    <s v="Agua Catillo"/>
    <n v="74.5"/>
    <n v="60"/>
    <n v="140"/>
    <n v="17.859023527831926"/>
    <n v="10"/>
    <s v="X"/>
    <s v="Y"/>
    <m/>
    <m/>
    <m/>
    <m/>
    <m/>
    <m/>
    <m/>
    <m/>
    <m/>
    <m/>
    <s v="GARMIN Navegador"/>
    <n v="0.05"/>
    <n v="2014"/>
    <s v="LATIFOLIADO"/>
    <s v="DEJAR"/>
    <s v="DEJAR"/>
    <x v="0"/>
    <s v="DEJAR"/>
    <n v="0.43591561563966874"/>
    <n v="8.7183123127933744"/>
    <n v="3959.6655675995289"/>
    <n v="79193.311351990575"/>
    <n v="1.8610428167717785"/>
    <n v="37.22085633543557"/>
    <n v="3959.6655675995289"/>
    <n v="79193.311351990575"/>
    <n v="1.8610428167717785"/>
    <n v="37.22085633543557"/>
    <s v="UVG_B_Kg"/>
  </r>
  <r>
    <x v="2"/>
    <n v="2"/>
    <n v="0"/>
    <n v="50.4"/>
    <n v="0"/>
    <n v="0"/>
    <m/>
    <n v="0"/>
    <s v="88° 38' 51.0''"/>
    <s v="15° 41' 6.0''"/>
    <s v="88"/>
    <s v="38"/>
    <s v="51.0"/>
    <n v="-88.633569444444447"/>
    <s v="15"/>
    <s v="41"/>
    <s v=" 6.0"/>
    <n v="15.683361111111111"/>
    <n v="700074.22583300003"/>
    <n v="1735139.11277"/>
    <s v="GARMIN Navegador"/>
    <n v="0.05"/>
    <n v="2014"/>
    <s v="LATIFOLIADO"/>
    <s v="DEJAR"/>
    <s v="DEJAR"/>
    <x v="0"/>
    <s v="DEJAR"/>
    <n v="0.19950369987356623"/>
    <n v="3.9900739974713244"/>
    <n v="1559.9673810111622"/>
    <n v="31199.347620223241"/>
    <n v="0.73318466907524615"/>
    <n v="14.663693381504924"/>
    <n v="1559.9673810111622"/>
    <n v="31199.347620223241"/>
    <n v="0.73318466907524615"/>
    <n v="14.663693381504924"/>
    <s v="UVG_B_Kg"/>
  </r>
  <r>
    <x v="2"/>
    <n v="3"/>
    <n v="0"/>
    <n v="55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23758294442772815"/>
    <n v="4.7516588885545623"/>
    <n v="1920.9991975467647"/>
    <n v="38419.98395093529"/>
    <n v="0.90286962284697936"/>
    <n v="18.057392456939585"/>
    <n v="1920.9991975467647"/>
    <n v="38419.98395093529"/>
    <n v="0.90286962284697936"/>
    <n v="18.057392456939585"/>
    <s v="UVG_B_Kg"/>
  </r>
  <r>
    <x v="2"/>
    <n v="4"/>
    <n v="0"/>
    <n v="19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2.8352873698647883E-2"/>
    <n v="0.56705747397295758"/>
    <n v="152.50261995629924"/>
    <n v="3050.0523991259847"/>
    <n v="7.1676231379460636E-2"/>
    <n v="1.4335246275892126"/>
    <n v="152.50261995629924"/>
    <n v="3050.0523991259847"/>
    <n v="7.1676231379460636E-2"/>
    <n v="1.4335246275892126"/>
    <s v="UVG_B_Kg"/>
  </r>
  <r>
    <x v="2"/>
    <n v="5"/>
    <n v="0"/>
    <n v="22.5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3.9760782021995823E-2"/>
    <n v="0.79521564043991644"/>
    <n v="228.1896084504572"/>
    <n v="4563.7921690091434"/>
    <n v="0.10724911597171487"/>
    <n v="2.1449823194342974"/>
    <n v="228.1896084504572"/>
    <n v="4563.7921690091434"/>
    <n v="0.10724911597171487"/>
    <n v="2.1449823194342974"/>
    <s v="UVG_B_Kg"/>
  </r>
  <r>
    <x v="2"/>
    <n v="6"/>
    <n v="0"/>
    <n v="50"/>
    <n v="60"/>
    <n v="90"/>
    <n v="3.264910455523815E+17"/>
    <n v="11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9634954084936207"/>
    <n v="3.9269908169872414"/>
    <n v="1530.6197203780737"/>
    <n v="30612.394407561471"/>
    <n v="0.71939126857769453"/>
    <n v="14.387825371553891"/>
    <n v="1530.6197203780737"/>
    <n v="30612.394407561471"/>
    <n v="0.71939126857769453"/>
    <n v="14.387825371553891"/>
    <s v="UVG_B_Kg"/>
  </r>
  <r>
    <x v="2"/>
    <n v="7"/>
    <n v="0"/>
    <n v="18.5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2.6880252142277666E-2"/>
    <n v="0.53760504284555333"/>
    <n v="143.11059777395243"/>
    <n v="2862.2119554790484"/>
    <n v="6.7261980953757641E-2"/>
    <n v="1.3452396190751525"/>
    <n v="143.11059777395243"/>
    <n v="2862.2119554790484"/>
    <n v="6.7261980953757641E-2"/>
    <n v="1.3452396190751525"/>
    <s v="UVG_B_Kg"/>
  </r>
  <r>
    <x v="2"/>
    <n v="8"/>
    <n v="0"/>
    <n v="62"/>
    <n v="20"/>
    <n v="140"/>
    <n v="-9.5025879382215628"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30190705400997914"/>
    <n v="6.0381410801995825"/>
    <n v="2555.8703816500024"/>
    <n v="51117.407633000046"/>
    <n v="1.2012590793755011"/>
    <n v="24.025181587510023"/>
    <n v="2555.8703816500024"/>
    <n v="51117.407633000046"/>
    <n v="1.2012590793755011"/>
    <n v="24.025181587510023"/>
    <s v="UVG_B_Kg"/>
  </r>
  <r>
    <x v="3"/>
    <n v="1"/>
    <s v="Palo Sangre"/>
    <n v="82"/>
    <n v="60"/>
    <n v="140"/>
    <n v="17.859023527831926"/>
    <n v="15"/>
    <s v="X"/>
    <s v="Y"/>
    <m/>
    <m/>
    <m/>
    <m/>
    <m/>
    <m/>
    <m/>
    <m/>
    <m/>
    <m/>
    <s v="GARMIN Navegador"/>
    <n v="0.05"/>
    <n v="2014"/>
    <s v="LATIFOLIADO"/>
    <s v="DEJAR"/>
    <s v="DEJAR"/>
    <x v="0"/>
    <s v="DEJAR"/>
    <n v="0.52810172506844411"/>
    <n v="10.562034501368881"/>
    <n v="4976.7951454037375"/>
    <n v="99535.902908074742"/>
    <n v="2.3390937183397562"/>
    <n v="46.78187436679513"/>
    <n v="4678.370186681871"/>
    <n v="93567.403733637417"/>
    <n v="2.1988339877404792"/>
    <n v="43.976679754809588"/>
    <s v="UVG_B_Kg"/>
  </r>
  <r>
    <x v="3"/>
    <n v="2"/>
    <n v="0"/>
    <n v="14"/>
    <n v="0"/>
    <n v="0"/>
    <m/>
    <n v="0"/>
    <s v="88° 38' 49.9''"/>
    <s v="15° 41' 5.3''"/>
    <s v="88"/>
    <s v="38"/>
    <s v="49.9"/>
    <n v="-88.633564351851845"/>
    <s v="15"/>
    <s v="41"/>
    <s v=" 5.3"/>
    <n v="15.68335787037037"/>
    <n v="700074.77506500005"/>
    <n v="1735138.7588899999"/>
    <s v="GARMIN Navegador"/>
    <n v="0.05"/>
    <n v="2014"/>
    <s v="LATIFOLIADO"/>
    <s v="DEJAR"/>
    <s v="DEJAR"/>
    <x v="0"/>
    <s v="DEJAR"/>
    <n v="1.5393804002589988E-2"/>
    <n v="0.30787608005179973"/>
    <n v="73.64833681845144"/>
    <n v="1472.9667363690287"/>
    <n v="3.4614718304672172E-2"/>
    <n v="0.69229436609344341"/>
    <n v="73.64833681845144"/>
    <n v="1472.9667363690287"/>
    <n v="3.4614718304672172E-2"/>
    <n v="0.69229436609344341"/>
    <s v="UVG_B_Kg"/>
  </r>
  <r>
    <x v="3"/>
    <n v="3"/>
    <n v="0"/>
    <n v="13.5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4313881527918496E-2"/>
    <n v="0.28627763055836991"/>
    <n v="67.533172179763213"/>
    <n v="1350.6634435952642"/>
    <n v="3.1740590924488707E-2"/>
    <n v="0.63481181848977419"/>
    <n v="67.533172179763213"/>
    <n v="1350.6634435952642"/>
    <n v="3.1740590924488707E-2"/>
    <n v="0.63481181848977419"/>
    <s v="UVG_B_Kg"/>
  </r>
  <r>
    <x v="3"/>
    <n v="4"/>
    <n v="0"/>
    <n v="80"/>
    <n v="50"/>
    <n v="140"/>
    <n v="7.0530792283385928"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50265482457436694"/>
    <n v="10.053096491487338"/>
    <n v="4692.3383942985474"/>
    <n v="93846.767885970941"/>
    <n v="2.2053990453203172"/>
    <n v="44.10798090640634"/>
    <n v="4678.370186681871"/>
    <n v="93567.403733637417"/>
    <n v="2.1988339877404792"/>
    <n v="43.976679754809588"/>
    <s v="UVG_B_Kg"/>
  </r>
  <r>
    <x v="3"/>
    <n v="5"/>
    <n v="0"/>
    <n v="25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4.9087385212340517E-2"/>
    <n v="0.98174770424681035"/>
    <n v="293.3319028192812"/>
    <n v="5866.6380563856237"/>
    <n v="0.13786599432506214"/>
    <n v="2.7573198865012429"/>
    <n v="293.3319028192812"/>
    <n v="5866.6380563856237"/>
    <n v="0.13786599432506214"/>
    <n v="2.7573198865012429"/>
    <s v="UVG_B_Kg"/>
  </r>
  <r>
    <x v="3"/>
    <n v="6"/>
    <n v="0"/>
    <n v="34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9.0792027688745044E-2"/>
    <n v="1.8158405537749007"/>
    <n v="610.45073780325674"/>
    <n v="12209.014756065135"/>
    <n v="0.28691184676753068"/>
    <n v="5.7382369353506135"/>
    <n v="610.45073780325674"/>
    <n v="12209.014756065135"/>
    <n v="0.28691184676753068"/>
    <n v="5.7382369353506135"/>
    <s v="UVG_B_Kg"/>
  </r>
  <r>
    <x v="3"/>
    <n v="7"/>
    <n v="0"/>
    <n v="21"/>
    <n v="40"/>
    <n v="120"/>
    <n v="-17.859023527831965"/>
    <n v="7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3.4636059005827467E-2"/>
    <n v="0.69272118011654926"/>
    <n v="193.587905296"/>
    <n v="3871.7581059199997"/>
    <n v="9.0986315489119993E-2"/>
    <n v="1.8197263097823997"/>
    <n v="193.587905296"/>
    <n v="3871.7581059199997"/>
    <n v="9.0986315489119993E-2"/>
    <n v="1.8197263097823997"/>
    <s v="UVG_B_Kg"/>
  </r>
  <r>
    <x v="3"/>
    <n v="8"/>
    <n v="0"/>
    <n v="58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26420794216690158"/>
    <n v="5.2841588433380311"/>
    <n v="2180.2363008097436"/>
    <n v="43604.726016194872"/>
    <n v="1.0247110613805794"/>
    <n v="20.49422122761159"/>
    <n v="2180.2363008097436"/>
    <n v="43604.726016194872"/>
    <n v="1.0247110613805794"/>
    <n v="20.49422122761159"/>
    <s v="UVG_B_Kg"/>
  </r>
  <r>
    <x v="3"/>
    <n v="9"/>
    <s v="Seiva"/>
    <n v="97"/>
    <n v="0"/>
    <n v="0"/>
    <m/>
    <n v="11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73898113194065906"/>
    <n v="14.77962263881318"/>
    <n v="7427.5503715745845"/>
    <n v="148551.00743149169"/>
    <n v="3.4909486746400544"/>
    <n v="69.818973492801092"/>
    <n v="4678.370186681871"/>
    <n v="93567.403733637417"/>
    <n v="2.1988339877404792"/>
    <n v="43.976679754809588"/>
    <s v="UVG_B_Kg"/>
  </r>
  <r>
    <x v="4"/>
    <n v="1"/>
    <s v="Tamarindo"/>
    <n v="62"/>
    <n v="55"/>
    <n v="140"/>
    <n v="11.78096751129668"/>
    <n v="0"/>
    <s v="X"/>
    <s v="Y"/>
    <m/>
    <m/>
    <m/>
    <m/>
    <m/>
    <m/>
    <m/>
    <m/>
    <m/>
    <m/>
    <s v="GARMIN Navegador"/>
    <n v="0.05"/>
    <n v="2014"/>
    <s v="LATIFOLIADO"/>
    <s v="DEJAR"/>
    <s v="DEJAR"/>
    <x v="0"/>
    <s v="DEJAR"/>
    <n v="0.30190705400997914"/>
    <n v="6.0381410801995825"/>
    <n v="2555.8703816500024"/>
    <n v="51117.407633000046"/>
    <n v="1.2012590793755011"/>
    <n v="24.025181587510023"/>
    <n v="2555.8703816500024"/>
    <n v="51117.407633000046"/>
    <n v="1.2012590793755011"/>
    <n v="24.025181587510023"/>
    <s v="UVG_B_Kg"/>
  </r>
  <r>
    <x v="4"/>
    <n v="2"/>
    <s v="Santa Maria"/>
    <n v="76.400000000000006"/>
    <n v="50"/>
    <n v="140"/>
    <n v="7.0530792283385928"/>
    <n v="12"/>
    <s v="88° 38' 48.3''"/>
    <s v="15° 41' 4.6''"/>
    <s v="88"/>
    <s v="38"/>
    <s v="48.3"/>
    <n v="-88.63355694444445"/>
    <s v="15"/>
    <s v="41"/>
    <s v=" 4.6"/>
    <n v="15.68335462962963"/>
    <n v="700075.57251199998"/>
    <n v="1735138.4071899999"/>
    <s v="GARMIN Navegador"/>
    <n v="0.05"/>
    <n v="2014"/>
    <s v="LATIFOLIADO"/>
    <s v="DEJAR"/>
    <s v="DEJAR"/>
    <x v="0"/>
    <s v="DEJAR"/>
    <n v="0.45843376638243699"/>
    <n v="9.1686753276487387"/>
    <n v="4204.6239571694196"/>
    <n v="84092.47914338838"/>
    <n v="1.9761732598696273"/>
    <n v="39.523465197392532"/>
    <n v="4204.6239571694196"/>
    <n v="84092.47914338838"/>
    <n v="1.9761732598696273"/>
    <n v="39.523465197392532"/>
    <s v="UVG_B_Kg"/>
  </r>
  <r>
    <x v="4"/>
    <n v="3"/>
    <s v="Chichicaste"/>
    <n v="71"/>
    <n v="0"/>
    <n v="0"/>
    <m/>
    <n v="13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39591921416865367"/>
    <n v="7.9183842833730731"/>
    <n v="3530.5965798379734"/>
    <n v="70611.931596759459"/>
    <n v="1.6593803925238473"/>
    <n v="33.187607850476944"/>
    <n v="3530.5965798379734"/>
    <n v="70611.931596759459"/>
    <n v="1.6593803925238473"/>
    <n v="33.187607850476944"/>
    <s v="UVG_B_Kg"/>
  </r>
  <r>
    <x v="4"/>
    <n v="4"/>
    <n v="0"/>
    <n v="73"/>
    <n v="55"/>
    <n v="140"/>
    <n v="11.78096751129668"/>
    <n v="1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41853868127450011"/>
    <n v="8.3707736254900009"/>
    <n v="3772.2805096514808"/>
    <n v="75445.610193029614"/>
    <n v="1.772971839536196"/>
    <n v="35.459436790723913"/>
    <n v="3772.2805096514808"/>
    <n v="75445.610193029614"/>
    <n v="1.772971839536196"/>
    <n v="35.459436790723913"/>
    <s v="UVG_B_Kg"/>
  </r>
  <r>
    <x v="4"/>
    <n v="5"/>
    <n v="0"/>
    <n v="59.5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27805058479678163"/>
    <n v="5.5610116959356324"/>
    <n v="2317.0437940439574"/>
    <n v="46340.875880879146"/>
    <n v="1.0890105832006598"/>
    <n v="21.780211664013198"/>
    <n v="2317.0437940439574"/>
    <n v="46340.875880879146"/>
    <n v="1.0890105832006598"/>
    <n v="21.780211664013198"/>
    <s v="UVG_B_Kg"/>
  </r>
  <r>
    <x v="4"/>
    <n v="6"/>
    <n v="0"/>
    <n v="55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23758294442772815"/>
    <n v="4.7516588885545623"/>
    <n v="1920.9991975467647"/>
    <n v="38419.98395093529"/>
    <n v="0.90286962284697936"/>
    <n v="18.057392456939585"/>
    <n v="1920.9991975467647"/>
    <n v="38419.98395093529"/>
    <n v="0.90286962284697936"/>
    <n v="18.057392456939585"/>
    <s v="UVG_B_Kg"/>
  </r>
  <r>
    <x v="5"/>
    <n v="1"/>
    <s v="Cedron"/>
    <n v="47.3"/>
    <n v="55"/>
    <n v="90"/>
    <n v="3.2649104555238144E+17"/>
    <n v="0"/>
    <s v="X"/>
    <s v="Y"/>
    <m/>
    <m/>
    <m/>
    <m/>
    <m/>
    <m/>
    <m/>
    <m/>
    <m/>
    <m/>
    <s v="GARMIN Navegador"/>
    <n v="0.05"/>
    <n v="2014"/>
    <s v="LATIFOLIADO"/>
    <s v="DEJAR"/>
    <s v="DEJAR"/>
    <x v="0"/>
    <s v="DEJAR"/>
    <n v="0.17571634569874769"/>
    <n v="3.5143269139749536"/>
    <n v="1340.9222186889281"/>
    <n v="26818.444373778559"/>
    <n v="0.63023344278379612"/>
    <n v="12.604668855675921"/>
    <n v="1340.9222186889281"/>
    <n v="26818.444373778559"/>
    <n v="0.63023344278379612"/>
    <n v="12.604668855675921"/>
    <s v="UVG_B_Kg"/>
  </r>
  <r>
    <x v="5"/>
    <n v="2"/>
    <s v="Lloron"/>
    <n v="32"/>
    <n v="50"/>
    <n v="60"/>
    <n v="58.476088003261737"/>
    <n v="0"/>
    <s v="88° 38' 46.2''"/>
    <s v="15° 41' 5.2''"/>
    <s v="88"/>
    <s v="38"/>
    <s v="46.2"/>
    <n v="-88.633547222222219"/>
    <s v="15"/>
    <s v="41"/>
    <s v=" 5.2"/>
    <n v="15.683357407407408"/>
    <n v="700076.61230599997"/>
    <n v="1735138.72382"/>
    <s v="GARMIN Navegador"/>
    <n v="0.05"/>
    <n v="2014"/>
    <s v="LATIFOLIADO"/>
    <s v="DEJAR"/>
    <s v="DEJAR"/>
    <x v="0"/>
    <s v="DEJAR"/>
    <n v="8.0424771931898703E-2"/>
    <n v="1.608495438637974"/>
    <n v="528.31791084648671"/>
    <n v="10566.358216929733"/>
    <n v="0.24830941809784873"/>
    <n v="4.9661883619569744"/>
    <n v="528.31791084648671"/>
    <n v="10566.358216929733"/>
    <n v="0.24830941809784873"/>
    <n v="4.9661883619569744"/>
    <s v="UVG_B_Kg"/>
  </r>
  <r>
    <x v="5"/>
    <n v="3"/>
    <s v="Chichicaste"/>
    <n v="33.799999999999997"/>
    <n v="60"/>
    <n v="90"/>
    <n v="3.264910455523815E+17"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8.972702777917807E-2"/>
    <n v="1.7945405555835614"/>
    <n v="601.92662472946552"/>
    <n v="12038.53249458931"/>
    <n v="0.28290551362284883"/>
    <n v="5.658110272456975"/>
    <n v="601.92662472946552"/>
    <n v="12038.53249458931"/>
    <n v="0.28290551362284883"/>
    <n v="5.658110272456975"/>
    <s v="UVG_B_Kg"/>
  </r>
  <r>
    <x v="5"/>
    <n v="4"/>
    <n v="0"/>
    <n v="26.6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5.5571632449349859E-2"/>
    <n v="1.111432648986997"/>
    <n v="340.07518198463231"/>
    <n v="6801.5036396926462"/>
    <n v="0.15983533553277718"/>
    <n v="3.1967067106555436"/>
    <n v="340.07518198463231"/>
    <n v="6801.5036396926462"/>
    <n v="0.15983533553277718"/>
    <n v="3.1967067106555436"/>
    <s v="UVG_B_Kg"/>
  </r>
  <r>
    <x v="5"/>
    <n v="5"/>
    <n v="0"/>
    <n v="23.5"/>
    <n v="0"/>
    <n v="0"/>
    <m/>
    <n v="8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4.3373613573624077E-2"/>
    <n v="0.86747227147248152"/>
    <n v="253.10998017593391"/>
    <n v="5062.1996035186776"/>
    <n v="0.11896169068268893"/>
    <n v="2.3792338136537783"/>
    <n v="253.10998017593391"/>
    <n v="5062.1996035186776"/>
    <n v="0.11896169068268893"/>
    <n v="2.3792338136537783"/>
    <s v="UVG_B_Kg"/>
  </r>
  <r>
    <x v="5"/>
    <n v="6"/>
    <s v="Chichicaste"/>
    <n v="75.5"/>
    <n v="0"/>
    <n v="0"/>
    <m/>
    <n v="1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44769658809063045"/>
    <n v="8.9539317618126084"/>
    <n v="4087.5271288806257"/>
    <n v="81750.542577612505"/>
    <n v="1.921137750573894"/>
    <n v="38.422755011477875"/>
    <n v="4087.5271288806257"/>
    <n v="81750.542577612505"/>
    <n v="1.921137750573894"/>
    <n v="38.422755011477875"/>
    <s v="UVG_B_Kg"/>
  </r>
  <r>
    <x v="6"/>
    <n v="1"/>
    <s v="Chichicaste"/>
    <n v="68"/>
    <n v="60"/>
    <n v="140"/>
    <n v="17.859023527831926"/>
    <n v="8"/>
    <s v="X"/>
    <s v="Y"/>
    <m/>
    <m/>
    <m/>
    <m/>
    <m/>
    <m/>
    <m/>
    <m/>
    <m/>
    <m/>
    <s v="GARMIN Navegador"/>
    <n v="0.05"/>
    <n v="2014"/>
    <s v="LATIFOLIADO"/>
    <s v="DEJAR"/>
    <s v="DEJAR"/>
    <x v="0"/>
    <s v="DEJAR"/>
    <n v="0.36316811075498018"/>
    <n v="7.2633622150996029"/>
    <n v="3185.3607760375917"/>
    <n v="63707.21552075183"/>
    <n v="1.4971195647376681"/>
    <n v="29.94239129475336"/>
    <n v="3185.3607760375917"/>
    <n v="63707.21552075183"/>
    <n v="1.4971195647376681"/>
    <n v="29.94239129475336"/>
    <s v="UVG_B_Kg"/>
  </r>
  <r>
    <x v="6"/>
    <n v="2"/>
    <n v="0"/>
    <n v="29"/>
    <n v="0"/>
    <n v="0"/>
    <m/>
    <n v="0"/>
    <s v="88° 38' 46.1''"/>
    <s v="15° 41' 7.2''"/>
    <s v="88"/>
    <s v="38"/>
    <s v="46.1"/>
    <n v="-88.633546759259261"/>
    <s v="15"/>
    <s v="41"/>
    <s v=" 7.2"/>
    <n v="15.683366666666666"/>
    <n v="700076.65292100003"/>
    <n v="1735139.74911"/>
    <s v="GARMIN Navegador"/>
    <n v="0.05"/>
    <n v="2014"/>
    <s v="LATIFOLIADO"/>
    <s v="DEJAR"/>
    <s v="DEJAR"/>
    <x v="0"/>
    <s v="DEJAR"/>
    <n v="6.6051985541725394E-2"/>
    <n v="1.3210397108345078"/>
    <n v="417.82609631752575"/>
    <n v="8356.5219263505151"/>
    <n v="0.1963782652692371"/>
    <n v="3.9275653053847419"/>
    <n v="417.82609631752575"/>
    <n v="8356.5219263505151"/>
    <n v="0.1963782652692371"/>
    <n v="3.9275653053847419"/>
    <s v="UVG_B_Kg"/>
  </r>
  <r>
    <x v="6"/>
    <n v="3"/>
    <n v="0"/>
    <n v="32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8.0424771931898703E-2"/>
    <n v="1.608495438637974"/>
    <n v="528.31791084648671"/>
    <n v="10566.358216929733"/>
    <n v="0.24830941809784873"/>
    <n v="4.9661883619569744"/>
    <n v="528.31791084648671"/>
    <n v="10566.358216929733"/>
    <n v="0.24830941809784873"/>
    <n v="4.9661883619569744"/>
    <s v="UVG_B_Kg"/>
  </r>
  <r>
    <x v="6"/>
    <n v="4"/>
    <n v="0"/>
    <n v="47.5"/>
    <n v="60"/>
    <n v="145"/>
    <n v="20.636865387183342"/>
    <n v="9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7720546061654927"/>
    <n v="3.544109212330985"/>
    <n v="1354.4759398853571"/>
    <n v="27089.51879770714"/>
    <n v="0.63660369174611786"/>
    <n v="12.732073834922355"/>
    <n v="1354.4759398853571"/>
    <n v="27089.51879770714"/>
    <n v="0.63660369174611786"/>
    <n v="12.732073834922355"/>
    <s v="UVG_B_Kg"/>
  </r>
  <r>
    <x v="6"/>
    <n v="5"/>
    <n v="0"/>
    <n v="45.3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6117077171262695"/>
    <n v="3.223415434252539"/>
    <n v="1209.7118499770827"/>
    <n v="24194.236999541652"/>
    <n v="0.56856456948922884"/>
    <n v="11.371291389784576"/>
    <n v="1209.7118499770827"/>
    <n v="24194.236999541652"/>
    <n v="0.56856456948922884"/>
    <n v="11.371291389784576"/>
    <s v="UVG_B_Kg"/>
  </r>
  <r>
    <x v="6"/>
    <n v="6"/>
    <n v="0"/>
    <n v="26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5.3092915845667513E-2"/>
    <n v="1.0618583169133502"/>
    <n v="322.0760520178971"/>
    <n v="6441.5210403579413"/>
    <n v="0.15137574444841162"/>
    <n v="3.0275148889682324"/>
    <n v="322.0760520178971"/>
    <n v="6441.5210403579413"/>
    <n v="0.15137574444841162"/>
    <n v="3.0275148889682324"/>
    <s v="UVG_B_Kg"/>
  </r>
  <r>
    <x v="6"/>
    <n v="7"/>
    <n v="0"/>
    <n v="67"/>
    <n v="70"/>
    <n v="120"/>
    <n v="20.308532237714871"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35256523554911462"/>
    <n v="7.0513047109822917"/>
    <n v="3074.842409403137"/>
    <n v="61496.848188062737"/>
    <n v="1.4451759324194744"/>
    <n v="28.903518648389483"/>
    <n v="3074.842409403137"/>
    <n v="61496.848188062737"/>
    <n v="1.4451759324194744"/>
    <n v="28.903518648389483"/>
    <s v="UVG_B_Kg"/>
  </r>
  <r>
    <x v="6"/>
    <n v="8"/>
    <s v="Chichicaste"/>
    <n v="65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33183072403542191"/>
    <n v="6.6366144807084382"/>
    <n v="2860.5689751200016"/>
    <n v="57211.379502400028"/>
    <n v="1.3444674183064005"/>
    <n v="26.889348366128011"/>
    <n v="2860.5689751200016"/>
    <n v="57211.379502400028"/>
    <n v="1.3444674183064005"/>
    <n v="26.889348366128011"/>
    <s v="UVG_B_Kg"/>
  </r>
  <r>
    <x v="6"/>
    <n v="9"/>
    <s v="Chichicaste"/>
    <n v="84"/>
    <n v="0"/>
    <n v="0"/>
    <m/>
    <n v="12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55417694409323948"/>
    <n v="11.083538881864788"/>
    <n v="5271.0147380740245"/>
    <n v="105420.29476148049"/>
    <n v="2.4773769268947912"/>
    <n v="49.547538537895825"/>
    <n v="4678.370186681871"/>
    <n v="93567.403733637417"/>
    <n v="2.1988339877404792"/>
    <n v="43.976679754809588"/>
    <s v="UVG_B_Kg"/>
  </r>
  <r>
    <x v="6"/>
    <n v="10"/>
    <n v="0"/>
    <n v="18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2.5446900494077322E-2"/>
    <n v="0.50893800988154636"/>
    <n v="134.06329154071116"/>
    <n v="2681.2658308142231"/>
    <n v="6.3009747024134241E-2"/>
    <n v="1.2601949404826847"/>
    <n v="134.06329154071116"/>
    <n v="2681.2658308142231"/>
    <n v="6.3009747024134241E-2"/>
    <n v="1.2601949404826847"/>
    <s v="UVG_B_Kg"/>
  </r>
  <r>
    <x v="6"/>
    <n v="11"/>
    <n v="0"/>
    <n v="42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3854423602330987"/>
    <n v="2.770884720466197"/>
    <n v="1010.1508312762483"/>
    <n v="20203.016625524964"/>
    <n v="0.47477089069983663"/>
    <n v="9.4954178139967329"/>
    <n v="1010.1508312762483"/>
    <n v="20203.016625524964"/>
    <n v="0.47477089069983663"/>
    <n v="9.4954178139967329"/>
    <s v="UVG_B_Kg"/>
  </r>
  <r>
    <x v="6"/>
    <n v="12"/>
    <n v="0"/>
    <n v="16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2.0106192982974676E-2"/>
    <n v="0.40212385965949349"/>
    <n v="101.24820425273758"/>
    <n v="2024.9640850547514"/>
    <n v="4.7586655998786656E-2"/>
    <n v="0.95173311997573318"/>
    <n v="101.24820425273758"/>
    <n v="2024.9640850547514"/>
    <n v="4.7586655998786656E-2"/>
    <n v="0.95173311997573318"/>
    <s v="UVG_B_Kg"/>
  </r>
  <r>
    <x v="6"/>
    <n v="13"/>
    <n v="0"/>
    <n v="13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3273228961416878E-2"/>
    <n v="0.26546457922833755"/>
    <n v="61.723483588461484"/>
    <n v="1234.4696717692295"/>
    <n v="2.9010037286576897E-2"/>
    <n v="0.5802007457315379"/>
    <n v="61.723483588461484"/>
    <n v="1234.4696717692295"/>
    <n v="2.9010037286576897E-2"/>
    <n v="0.5802007457315379"/>
    <s v="UVG_B_Kg"/>
  </r>
  <r>
    <x v="6"/>
    <n v="14"/>
    <n v="0"/>
    <n v="18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2.5446900494077322E-2"/>
    <n v="0.50893800988154636"/>
    <n v="134.06329154071116"/>
    <n v="2681.2658308142231"/>
    <n v="6.3009747024134241E-2"/>
    <n v="1.2601949404826847"/>
    <n v="134.06329154071116"/>
    <n v="2681.2658308142231"/>
    <n v="6.3009747024134241E-2"/>
    <n v="1.2601949404826847"/>
    <s v="UVG_B_Kg"/>
  </r>
  <r>
    <x v="6"/>
    <n v="15"/>
    <n v="0"/>
    <n v="15"/>
    <n v="0"/>
    <n v="0"/>
    <m/>
    <n v="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7671458676442587E-2"/>
    <n v="0.35342917352885173"/>
    <n v="86.812164819560579"/>
    <n v="1736.2432963912115"/>
    <n v="4.0801717465193475E-2"/>
    <n v="0.81603434930386942"/>
    <n v="86.812164819560579"/>
    <n v="1736.2432963912115"/>
    <n v="4.0801717465193475E-2"/>
    <n v="0.81603434930386942"/>
    <s v="UVG_B_Kg"/>
  </r>
  <r>
    <x v="7"/>
    <n v="1"/>
    <s v="Cola de pava"/>
    <n v="45.5"/>
    <n v="0"/>
    <n v="0"/>
    <m/>
    <n v="10.5"/>
    <s v="X"/>
    <s v="Y"/>
    <m/>
    <m/>
    <m/>
    <m/>
    <m/>
    <m/>
    <m/>
    <m/>
    <m/>
    <m/>
    <s v="GARMIN Navegador"/>
    <n v="0.05"/>
    <n v="2014"/>
    <s v="LATIFOLIADO"/>
    <s v="DEJAR"/>
    <s v="DEJAR"/>
    <x v="0"/>
    <s v="DEJAR"/>
    <n v="0.16259705477735675"/>
    <n v="3.2519410955471351"/>
    <n v="1222.4808183928546"/>
    <n v="24449.616367857092"/>
    <n v="0.57456598464464159"/>
    <n v="11.491319692892834"/>
    <n v="1222.4808183928546"/>
    <n v="24449.616367857092"/>
    <n v="0.57456598464464159"/>
    <n v="11.491319692892834"/>
    <s v="UVG_B_Kg"/>
  </r>
  <r>
    <x v="7"/>
    <n v="2"/>
    <s v="Orgon"/>
    <n v="51.8"/>
    <n v="44"/>
    <n v="120"/>
    <n v="-15.327240655236086"/>
    <n v="7"/>
    <s v="88° 38' 53.6''"/>
    <s v="15° 40' 59.6''"/>
    <s v="88"/>
    <s v="38"/>
    <s v="53.6"/>
    <n v="-88.633581481481485"/>
    <s v="15"/>
    <s v="40"/>
    <s v="59.6"/>
    <n v="15.666942592592592"/>
    <n v="700088.93505700002"/>
    <n v="1733321.83849"/>
    <s v="GARMIN Navegador"/>
    <n v="0.05"/>
    <n v="2014"/>
    <s v="LATIFOLIADO"/>
    <s v="DEJAR"/>
    <s v="DEJAR"/>
    <x v="0"/>
    <s v="DEJAR"/>
    <n v="0.21074117679545692"/>
    <n v="4.2148235359091384"/>
    <n v="1665.2423033831058"/>
    <n v="33304.846067662111"/>
    <n v="0.7826638825900597"/>
    <n v="15.653277651801192"/>
    <n v="1665.2423033831058"/>
    <n v="33304.846067662111"/>
    <n v="0.7826638825900597"/>
    <n v="15.653277651801192"/>
    <s v="UVG_B_Kg"/>
  </r>
  <r>
    <x v="7"/>
    <n v="3"/>
    <s v="Conacaste"/>
    <n v="71.3"/>
    <n v="42"/>
    <n v="107"/>
    <n v="-47.408971483726049"/>
    <n v="8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39927207892819733"/>
    <n v="7.9854415785639459"/>
    <n v="3566.2578013584557"/>
    <n v="71325.156027169112"/>
    <n v="1.6761411666384742"/>
    <n v="33.522823332769484"/>
    <n v="3566.2578013584557"/>
    <n v="71325.156027169112"/>
    <n v="1.6761411666384742"/>
    <n v="33.522823332769484"/>
    <s v="UVG_B_Kg"/>
  </r>
  <r>
    <x v="7"/>
    <n v="4"/>
    <s v="Chichicaste"/>
    <n v="67.900000000000006"/>
    <n v="0"/>
    <n v="0"/>
    <m/>
    <n v="9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36210075465092301"/>
    <n v="7.2420150930184599"/>
    <n v="3174.2069273179204"/>
    <n v="63484.138546358408"/>
    <n v="1.4918772558394227"/>
    <n v="29.837545116788451"/>
    <n v="3174.2069273179204"/>
    <n v="63484.138546358408"/>
    <n v="1.4918772558394227"/>
    <n v="29.837545116788451"/>
    <s v="UVG_B_Kg"/>
  </r>
  <r>
    <x v="7"/>
    <n v="5"/>
    <n v="0"/>
    <n v="18"/>
    <n v="0"/>
    <n v="0"/>
    <m/>
    <n v="7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2.5446900494077322E-2"/>
    <n v="0.50893800988154636"/>
    <n v="134.06329154071116"/>
    <n v="2681.2658308142231"/>
    <n v="6.3009747024134241E-2"/>
    <n v="1.2601949404826847"/>
    <n v="134.06329154071116"/>
    <n v="2681.2658308142231"/>
    <n v="6.3009747024134241E-2"/>
    <n v="1.2601949404826847"/>
    <s v="UVG_B_Kg"/>
  </r>
  <r>
    <x v="7"/>
    <n v="6"/>
    <n v="0"/>
    <n v="21.4"/>
    <n v="0"/>
    <n v="0"/>
    <m/>
    <n v="9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3.5968094290949541E-2"/>
    <n v="0.71936188581899074"/>
    <n v="202.4929196554134"/>
    <n v="4049.858393108268"/>
    <n v="9.5171672238044291E-2"/>
    <n v="1.9034334447608858"/>
    <n v="202.4929196554134"/>
    <n v="4049.858393108268"/>
    <n v="9.5171672238044291E-2"/>
    <n v="1.9034334447608858"/>
    <s v="UVG_B_Kg"/>
  </r>
  <r>
    <x v="7"/>
    <n v="7"/>
    <n v="0"/>
    <n v="26.5"/>
    <n v="0"/>
    <n v="0"/>
    <m/>
    <n v="7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5.5154586024585811E-2"/>
    <n v="1.1030917204917161"/>
    <n v="337.03583743732253"/>
    <n v="6740.7167487464503"/>
    <n v="0.15840684359554158"/>
    <n v="3.1681368719108316"/>
    <n v="337.03583743732253"/>
    <n v="6740.7167487464503"/>
    <n v="0.15840684359554158"/>
    <n v="3.1681368719108316"/>
    <s v="UVG_B_Kg"/>
  </r>
  <r>
    <x v="7"/>
    <n v="8"/>
    <n v="0"/>
    <n v="39.799999999999997"/>
    <n v="0"/>
    <n v="0"/>
    <m/>
    <n v="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2441021067480937"/>
    <n v="2.488204213496187"/>
    <n v="888.57197250486888"/>
    <n v="17771.439450097376"/>
    <n v="0.41762882707728832"/>
    <n v="8.3525765415457656"/>
    <n v="888.57197250486888"/>
    <n v="17771.439450097376"/>
    <n v="0.41762882707728832"/>
    <n v="8.3525765415457656"/>
    <s v="UVG_B_Kg"/>
  </r>
  <r>
    <x v="7"/>
    <n v="9"/>
    <n v="0"/>
    <n v="20.5"/>
    <n v="0"/>
    <n v="0"/>
    <m/>
    <n v="4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3.3006357816777757E-2"/>
    <n v="0.66012715633555508"/>
    <n v="182.78213876481104"/>
    <n v="3655.6427752962204"/>
    <n v="8.5907605219461183E-2"/>
    <n v="1.7181521043892234"/>
    <n v="182.78213876481104"/>
    <n v="3655.6427752962204"/>
    <n v="8.5907605219461183E-2"/>
    <n v="1.7181521043892234"/>
    <s v="UVG_B_Kg"/>
  </r>
  <r>
    <x v="7"/>
    <n v="10"/>
    <n v="0"/>
    <n v="48.9"/>
    <n v="0"/>
    <n v="0"/>
    <m/>
    <n v="7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8780519422976122"/>
    <n v="3.7561038845952242"/>
    <n v="1451.5762979683334"/>
    <n v="29031.525959366667"/>
    <n v="0.68224086004511664"/>
    <n v="13.644817200902333"/>
    <n v="1451.5762979683334"/>
    <n v="29031.525959366667"/>
    <n v="0.68224086004511664"/>
    <n v="13.644817200902333"/>
    <s v="UVG_B_Kg"/>
  </r>
  <r>
    <x v="7"/>
    <n v="11"/>
    <s v="Guarumo"/>
    <n v="16.5"/>
    <n v="0"/>
    <n v="0"/>
    <m/>
    <n v="2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2.1382464998495533E-2"/>
    <n v="0.42764929996991063"/>
    <n v="108.95331919183752"/>
    <n v="2179.0663838367504"/>
    <n v="5.1208060020163634E-2"/>
    <n v="1.0241612004032727"/>
    <n v="108.95331919183752"/>
    <n v="2179.0663838367504"/>
    <n v="5.1208060020163634E-2"/>
    <n v="1.0241612004032727"/>
    <s v="UVG_B_Kg"/>
  </r>
  <r>
    <x v="7"/>
    <n v="12"/>
    <s v="Cedrillo"/>
    <n v="22.8"/>
    <n v="0"/>
    <n v="0"/>
    <m/>
    <n v="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4.0828138126052953E-2"/>
    <n v="0.81656276252105897"/>
    <n v="235.50850554664373"/>
    <n v="4710.1701109328742"/>
    <n v="0.11068899760692255"/>
    <n v="2.2137799521384509"/>
    <n v="235.50850554664373"/>
    <n v="4710.1701109328742"/>
    <n v="0.11068899760692255"/>
    <n v="2.2137799521384509"/>
    <s v="UVG_B_Kg"/>
  </r>
  <r>
    <x v="7"/>
    <n v="13"/>
    <n v="0"/>
    <n v="11"/>
    <n v="0"/>
    <n v="0"/>
    <m/>
    <n v="2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9.5033177771091243E-3"/>
    <n v="0.19006635554218249"/>
    <n v="41.450062373780455"/>
    <n v="829.00124747560903"/>
    <n v="1.9481529315676812E-2"/>
    <n v="0.3896305863135362"/>
    <n v="41.450062373780455"/>
    <n v="829.00124747560903"/>
    <n v="1.9481529315676812E-2"/>
    <n v="0.3896305863135362"/>
    <s v="UVG_B_Kg"/>
  </r>
  <r>
    <x v="7"/>
    <n v="14"/>
    <n v="0"/>
    <n v="26.1"/>
    <n v="32"/>
    <n v="60"/>
    <n v="47.138403189564087"/>
    <n v="5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5.3502108288797576E-2"/>
    <n v="1.0700421657759513"/>
    <n v="325.03649416483495"/>
    <n v="6500.729883296699"/>
    <n v="0.15276715225747242"/>
    <n v="3.0553430451494483"/>
    <n v="325.03649416483495"/>
    <n v="6500.729883296699"/>
    <n v="0.15276715225747242"/>
    <n v="3.0553430451494483"/>
    <s v="UVG_B_Kg"/>
  </r>
  <r>
    <x v="7"/>
    <n v="15"/>
    <n v="0"/>
    <n v="38.200000000000003"/>
    <n v="0"/>
    <n v="0"/>
    <m/>
    <n v="5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1460844159560925"/>
    <n v="2.2921688319121847"/>
    <n v="805.78495727952361"/>
    <n v="16115.699145590472"/>
    <n v="0.37871892992137607"/>
    <n v="7.5743785984275211"/>
    <n v="805.78495727952361"/>
    <n v="16115.699145590472"/>
    <n v="0.37871892992137607"/>
    <n v="7.5743785984275211"/>
    <s v="UVG_B_Kg"/>
  </r>
  <r>
    <x v="7"/>
    <n v="16"/>
    <n v="0"/>
    <n v="69.2"/>
    <n v="0"/>
    <n v="0"/>
    <m/>
    <n v="8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37609890611715574"/>
    <n v="7.5219781223431141"/>
    <n v="3320.9824963950955"/>
    <n v="66419.649927901904"/>
    <n v="1.5608617733056949"/>
    <n v="31.217235466113891"/>
    <n v="3320.9824963950955"/>
    <n v="66419.649927901904"/>
    <n v="1.5608617733056949"/>
    <n v="31.217235466113891"/>
    <s v="UVG_B_Kg"/>
  </r>
  <r>
    <x v="8"/>
    <n v="1"/>
    <n v="0"/>
    <n v="18.899999999999999"/>
    <n v="40"/>
    <n v="60"/>
    <n v="51.423008774923133"/>
    <n v="3"/>
    <s v="X"/>
    <s v="Y"/>
    <m/>
    <m/>
    <m/>
    <m/>
    <m/>
    <m/>
    <m/>
    <m/>
    <m/>
    <m/>
    <s v="GARMIN Navegador"/>
    <n v="0.05"/>
    <n v="2014"/>
    <s v="LATIFOLIADO"/>
    <s v="DEJAR"/>
    <s v="DEJAR"/>
    <x v="0"/>
    <s v="DEJAR"/>
    <n v="2.805520779472024E-2"/>
    <n v="0.56110415589440477"/>
    <n v="150.59646729750378"/>
    <n v="3011.9293459500755"/>
    <n v="7.0780339629826772E-2"/>
    <n v="1.4156067925965354"/>
    <n v="150.59646729750378"/>
    <n v="3011.9293459500755"/>
    <n v="7.0780339629826772E-2"/>
    <n v="1.4156067925965354"/>
    <s v="UVG_B_Kg"/>
  </r>
  <r>
    <x v="8"/>
    <n v="2"/>
    <n v="0"/>
    <n v="16"/>
    <n v="20"/>
    <n v="140"/>
    <n v="-9.5025879382215628"/>
    <n v="2.25"/>
    <s v="88° 38' 56.4''"/>
    <s v="15° 40' 56.8''"/>
    <s v="88"/>
    <s v="38"/>
    <s v="56.4"/>
    <n v="-88.633594444444441"/>
    <s v="15"/>
    <s v="40"/>
    <s v="56.8"/>
    <n v="15.66692962962963"/>
    <n v="700087.55756900006"/>
    <n v="1733320.3914699999"/>
    <s v="GARMIN Navegador"/>
    <n v="0.05"/>
    <n v="2014"/>
    <s v="LATIFOLIADO"/>
    <s v="DEJAR"/>
    <s v="DEJAR"/>
    <x v="0"/>
    <s v="DEJAR"/>
    <n v="2.0106192982974676E-2"/>
    <n v="0.40212385965949349"/>
    <n v="101.24820425273758"/>
    <n v="2024.9640850547514"/>
    <n v="4.7586655998786656E-2"/>
    <n v="0.95173311997573318"/>
    <n v="101.24820425273758"/>
    <n v="2024.9640850547514"/>
    <n v="4.7586655998786656E-2"/>
    <n v="0.95173311997573318"/>
    <s v="UVG_B_Kg"/>
  </r>
  <r>
    <x v="8"/>
    <n v="3"/>
    <n v="0"/>
    <n v="39"/>
    <n v="0"/>
    <n v="0"/>
    <m/>
    <n v="4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194590606527519"/>
    <n v="2.3891812130550378"/>
    <n v="846.59112411251863"/>
    <n v="16931.822482250373"/>
    <n v="0.39789782833288373"/>
    <n v="7.9579565666576739"/>
    <n v="846.59112411251863"/>
    <n v="16931.822482250373"/>
    <n v="0.39789782833288373"/>
    <n v="7.9579565666576739"/>
    <s v="UVG_B_Kg"/>
  </r>
  <r>
    <x v="8"/>
    <n v="4"/>
    <n v="0"/>
    <n v="144.69999999999999"/>
    <n v="0"/>
    <n v="0"/>
    <m/>
    <n v="10.7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6444737431050473"/>
    <n v="32.889474862100947"/>
    <n v="19268.755144273386"/>
    <n v="385375.1028854677"/>
    <n v="9.056314917808491"/>
    <n v="181.1262983561698"/>
    <n v="4678.370186681871"/>
    <n v="93567.403733637417"/>
    <n v="2.1988339877404792"/>
    <n v="43.976679754809588"/>
    <s v="UVG_B_Kg"/>
  </r>
  <r>
    <x v="8"/>
    <n v="5"/>
    <s v="Lagarto"/>
    <n v="81.3"/>
    <n v="0"/>
    <n v="0"/>
    <m/>
    <n v="12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51912383866264789"/>
    <n v="10.382476773252957"/>
    <n v="4876.1294401266787"/>
    <n v="97522.588802533573"/>
    <n v="2.2917808368595387"/>
    <n v="45.835616737190776"/>
    <n v="4678.370186681871"/>
    <n v="93567.403733637417"/>
    <n v="2.1988339877404792"/>
    <n v="43.976679754809588"/>
    <s v="UVG_B_Kg"/>
  </r>
  <r>
    <x v="8"/>
    <n v="6"/>
    <n v="0"/>
    <n v="10.6"/>
    <n v="0"/>
    <n v="0"/>
    <m/>
    <n v="3.2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8.8247337639337283E-3"/>
    <n v="0.17649467527867455"/>
    <n v="37.947405867325628"/>
    <n v="758.9481173465125"/>
    <n v="1.7835280757643047E-2"/>
    <n v="0.35670561515286081"/>
    <n v="37.947405867325628"/>
    <n v="758.9481173465125"/>
    <n v="1.7835280757643047E-2"/>
    <n v="0.35670561515286081"/>
    <s v="UVG_B_Kg"/>
  </r>
  <r>
    <x v="8"/>
    <n v="7"/>
    <s v="Matapalo"/>
    <n v="11.6"/>
    <n v="0"/>
    <n v="0"/>
    <m/>
    <n v="4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0568317686676062E-2"/>
    <n v="0.21136635373352122"/>
    <n v="47.043710780074015"/>
    <n v="940.87421560148027"/>
    <n v="2.2110544066634787E-2"/>
    <n v="0.4422108813326957"/>
    <n v="47.043710780074015"/>
    <n v="940.87421560148027"/>
    <n v="2.2110544066634787E-2"/>
    <n v="0.4422108813326957"/>
    <s v="UVG_B_Kg"/>
  </r>
  <r>
    <x v="8"/>
    <n v="8"/>
    <s v="Columna de cocodrilo"/>
    <n v="10"/>
    <n v="0"/>
    <n v="0"/>
    <m/>
    <n v="4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7.8539816339744835E-3"/>
    <n v="0.15707963267948966"/>
    <n v="33.026709725455305"/>
    <n v="660.5341945091061"/>
    <n v="1.5522553570963995E-2"/>
    <n v="0.31045107141927986"/>
    <n v="33.026709725455305"/>
    <n v="660.5341945091061"/>
    <n v="1.5522553570963995E-2"/>
    <n v="0.31045107141927986"/>
    <s v="UVG_B_Kg"/>
  </r>
  <r>
    <x v="8"/>
    <n v="9"/>
    <n v="0"/>
    <n v="24.6"/>
    <n v="0"/>
    <n v="0"/>
    <m/>
    <n v="11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4.7529155256159993E-2"/>
    <n v="0.95058310512319977"/>
    <n v="282.26891022236367"/>
    <n v="5645.3782044472728"/>
    <n v="0.13266638780451093"/>
    <n v="2.653327756090218"/>
    <n v="282.26891022236367"/>
    <n v="5645.3782044472728"/>
    <n v="0.13266638780451093"/>
    <n v="2.653327756090218"/>
    <s v="UVG_B_Kg"/>
  </r>
  <r>
    <x v="8"/>
    <n v="10"/>
    <n v="0"/>
    <n v="49.6"/>
    <n v="30"/>
    <n v="130"/>
    <n v="-12.288066468091687"/>
    <n v="8.7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9322051456638661"/>
    <n v="3.8644102913277321"/>
    <n v="1501.5950920911744"/>
    <n v="30031.901841823485"/>
    <n v="0.70574969328285186"/>
    <n v="14.114993865657036"/>
    <n v="1501.5950920911744"/>
    <n v="30031.901841823485"/>
    <n v="0.70574969328285186"/>
    <n v="14.114993865657036"/>
    <s v="UVG_B_Kg"/>
  </r>
  <r>
    <x v="8"/>
    <n v="11"/>
    <n v="0"/>
    <n v="26.4"/>
    <n v="15"/>
    <n v="110"/>
    <n v="-49.590564540469998"/>
    <n v="4.2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5.4739110396148559E-2"/>
    <n v="1.0947822079229712"/>
    <n v="334.01231933941347"/>
    <n v="6680.2463867882689"/>
    <n v="0.15698579008952432"/>
    <n v="3.1397158017904858"/>
    <n v="334.01231933941347"/>
    <n v="6680.2463867882689"/>
    <n v="0.15698579008952432"/>
    <n v="3.1397158017904858"/>
    <s v="UVG_B_Kg"/>
  </r>
  <r>
    <x v="8"/>
    <n v="12"/>
    <s v="Cacao de montaña "/>
    <n v="48.8"/>
    <n v="0"/>
    <n v="0"/>
    <m/>
    <n v="6.2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8703786022412192"/>
    <n v="3.740757204482438"/>
    <n v="1444.5109534029223"/>
    <n v="28890.219068058443"/>
    <n v="0.67892014809937351"/>
    <n v="13.578402961987468"/>
    <n v="1444.5109534029223"/>
    <n v="28890.219068058443"/>
    <n v="0.67892014809937351"/>
    <n v="13.578402961987468"/>
    <s v="UVG_B_Kg"/>
  </r>
  <r>
    <x v="8"/>
    <n v="13"/>
    <s v="Matapalo"/>
    <n v="11"/>
    <n v="0"/>
    <n v="0"/>
    <m/>
    <n v="1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9.5033177771091243E-3"/>
    <n v="0.19006635554218249"/>
    <n v="41.450062373780455"/>
    <n v="829.00124747560903"/>
    <n v="1.9481529315676812E-2"/>
    <n v="0.3896305863135362"/>
    <n v="41.450062373780455"/>
    <n v="829.00124747560903"/>
    <n v="1.9481529315676812E-2"/>
    <n v="0.3896305863135362"/>
    <s v="UVG_B_Kg"/>
  </r>
  <r>
    <x v="8"/>
    <n v="14"/>
    <s v="Lagarto"/>
    <n v="57.2"/>
    <n v="0"/>
    <n v="0"/>
    <m/>
    <n v="5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25696971269303076"/>
    <n v="5.1393942538606145"/>
    <n v="2109.2415503696147"/>
    <n v="42184.831007392291"/>
    <n v="0.99134352867371889"/>
    <n v="19.826870573474377"/>
    <n v="2109.2415503696147"/>
    <n v="42184.831007392291"/>
    <n v="0.99134352867371889"/>
    <n v="19.826870573474377"/>
    <s v="UVG_B_Kg"/>
  </r>
  <r>
    <x v="8"/>
    <n v="15"/>
    <n v="0"/>
    <n v="10"/>
    <n v="0"/>
    <n v="0"/>
    <m/>
    <n v="4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7.8539816339744835E-3"/>
    <n v="0.15707963267948966"/>
    <n v="33.026709725455305"/>
    <n v="660.5341945091061"/>
    <n v="1.5522553570963995E-2"/>
    <n v="0.31045107141927986"/>
    <n v="33.026709725455305"/>
    <n v="660.5341945091061"/>
    <n v="1.5522553570963995E-2"/>
    <n v="0.31045107141927986"/>
    <s v="UVG_B_Kg"/>
  </r>
  <r>
    <x v="8"/>
    <n v="16"/>
    <n v="0"/>
    <n v="30.4"/>
    <n v="0"/>
    <n v="0"/>
    <m/>
    <n v="7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7.2583356668538573E-2"/>
    <n v="1.4516671333707714"/>
    <n v="467.5190638960982"/>
    <n v="9350.3812779219643"/>
    <n v="0.21973396003116616"/>
    <n v="4.3946792006233233"/>
    <n v="467.5190638960982"/>
    <n v="9350.3812779219643"/>
    <n v="0.21973396003116616"/>
    <n v="4.3946792006233233"/>
    <s v="UVG_B_Kg"/>
  </r>
  <r>
    <x v="8"/>
    <n v="17"/>
    <n v="0"/>
    <n v="44.7"/>
    <n v="0"/>
    <n v="0"/>
    <m/>
    <n v="1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5692962163028076"/>
    <n v="3.1385924326056149"/>
    <n v="1171.8709645318349"/>
    <n v="23437.419290636699"/>
    <n v="0.55077935332996242"/>
    <n v="11.015587066599247"/>
    <n v="1171.8709645318349"/>
    <n v="23437.419290636699"/>
    <n v="0.55077935332996242"/>
    <n v="11.015587066599247"/>
    <s v="UVG_B_Kg"/>
  </r>
  <r>
    <x v="9"/>
    <n v="1"/>
    <n v="0"/>
    <n v="35.6"/>
    <n v="23"/>
    <n v="140"/>
    <n v="-8.2924962993535143"/>
    <n v="0"/>
    <s v="X"/>
    <s v="Y"/>
    <m/>
    <m/>
    <m/>
    <m/>
    <m/>
    <m/>
    <m/>
    <m/>
    <m/>
    <m/>
    <s v="GARMIN Navegador"/>
    <n v="0.05"/>
    <n v="2014"/>
    <s v="LATIFOLIADO"/>
    <s v="DEJAR"/>
    <s v="DEJAR"/>
    <x v="0"/>
    <s v="DEJAR"/>
    <n v="9.9538221636339019E-2"/>
    <n v="1.9907644327267804"/>
    <n v="681.16432459004352"/>
    <n v="13623.286491800869"/>
    <n v="0.32014723255732042"/>
    <n v="6.4029446511464077"/>
    <n v="681.16432459004352"/>
    <n v="13623.286491800869"/>
    <n v="0.32014723255732042"/>
    <n v="6.4029446511464077"/>
    <s v="UVG_B_Kg"/>
  </r>
  <r>
    <x v="9"/>
    <n v="2"/>
    <n v="0"/>
    <n v="21.9"/>
    <n v="22"/>
    <n v="55"/>
    <n v="36.643484651545421"/>
    <n v="5.5"/>
    <s v="88° 38' 59.6''"/>
    <s v="15° 40' 59.9''"/>
    <s v="88"/>
    <s v="38"/>
    <s v="59.6"/>
    <n v="-88.633609259259259"/>
    <s v="15"/>
    <s v="40"/>
    <s v="59.9"/>
    <n v="15.666943981481481"/>
    <n v="700085.95488900004"/>
    <n v="1733321.966"/>
    <s v="GARMIN Navegador"/>
    <n v="0.05"/>
    <n v="2014"/>
    <s v="LATIFOLIADO"/>
    <s v="DEJAR"/>
    <s v="DEJAR"/>
    <x v="0"/>
    <s v="DEJAR"/>
    <n v="3.7668481314705009E-2"/>
    <n v="0.75336962629410009"/>
    <n v="213.95244879543969"/>
    <n v="4279.0489759087932"/>
    <n v="0.10055765093385666"/>
    <n v="2.0111530186771329"/>
    <n v="213.95244879543969"/>
    <n v="4279.0489759087932"/>
    <n v="0.10055765093385666"/>
    <n v="2.0111530186771329"/>
    <s v="UVG_B_Kg"/>
  </r>
  <r>
    <x v="9"/>
    <n v="3"/>
    <n v="0"/>
    <n v="82.8"/>
    <n v="0"/>
    <n v="0"/>
    <m/>
    <n v="12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53845641445467618"/>
    <n v="10.769128289093523"/>
    <n v="5093.3063349812019"/>
    <n v="101866.12669962403"/>
    <n v="2.3938539774411649"/>
    <n v="47.877079548823289"/>
    <n v="4678.370186681871"/>
    <n v="93567.403733637417"/>
    <n v="2.1988339877404792"/>
    <n v="43.976679754809588"/>
    <s v="UVG_B_Kg"/>
  </r>
  <r>
    <x v="9"/>
    <n v="4"/>
    <s v="Lagarto"/>
    <n v="139.80000000000001"/>
    <n v="0"/>
    <n v="0"/>
    <m/>
    <n v="10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5349853121366268"/>
    <n v="30.699706242732535"/>
    <n v="17749.785435046426"/>
    <n v="354995.70870092849"/>
    <n v="8.3423991544718206"/>
    <n v="166.84798308943638"/>
    <n v="4678.370186681871"/>
    <n v="93567.403733637417"/>
    <n v="2.1988339877404792"/>
    <n v="43.976679754809588"/>
    <s v="UVG_B_Kg"/>
  </r>
  <r>
    <x v="9"/>
    <n v="5"/>
    <n v="0"/>
    <n v="26"/>
    <n v="0"/>
    <n v="0"/>
    <m/>
    <n v="6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5.3092915845667513E-2"/>
    <n v="1.0618583169133502"/>
    <n v="322.0760520178971"/>
    <n v="6441.5210403579413"/>
    <n v="0.15137574444841162"/>
    <n v="3.0275148889682324"/>
    <n v="322.0760520178971"/>
    <n v="6441.5210403579413"/>
    <n v="0.15137574444841162"/>
    <n v="3.0275148889682324"/>
    <s v="UVG_B_Kg"/>
  </r>
  <r>
    <x v="9"/>
    <n v="6"/>
    <n v="0"/>
    <n v="16.600000000000001"/>
    <n v="0"/>
    <n v="0"/>
    <m/>
    <n v="4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2.1642431790580088E-2"/>
    <n v="0.43284863581160171"/>
    <n v="110.53380957149615"/>
    <n v="2210.6761914299227"/>
    <n v="5.1950890498603186E-2"/>
    <n v="1.0390178099720637"/>
    <n v="110.53380957149615"/>
    <n v="2210.6761914299227"/>
    <n v="5.1950890498603186E-2"/>
    <n v="1.0390178099720637"/>
    <s v="UVG_B_Kg"/>
  </r>
  <r>
    <x v="9"/>
    <n v="7"/>
    <n v="0"/>
    <n v="13.5"/>
    <n v="0"/>
    <n v="0"/>
    <m/>
    <n v="3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4313881527918496E-2"/>
    <n v="0.28627763055836991"/>
    <n v="67.533172179763213"/>
    <n v="1350.6634435952642"/>
    <n v="3.1740590924488707E-2"/>
    <n v="0.63481181848977419"/>
    <n v="67.533172179763213"/>
    <n v="1350.6634435952642"/>
    <n v="3.1740590924488707E-2"/>
    <n v="0.63481181848977419"/>
    <s v="UVG_B_Kg"/>
  </r>
  <r>
    <x v="9"/>
    <n v="8"/>
    <n v="0"/>
    <n v="12.7"/>
    <n v="0"/>
    <n v="0"/>
    <m/>
    <n v="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2667686977437444E-2"/>
    <n v="0.25335373954874885"/>
    <n v="58.382476924743543"/>
    <n v="1167.6495384948707"/>
    <n v="2.7439764154629464E-2"/>
    <n v="0.54879528309258918"/>
    <n v="58.382476924743543"/>
    <n v="1167.6495384948707"/>
    <n v="2.7439764154629464E-2"/>
    <n v="0.54879528309258918"/>
    <s v="UVG_B_Kg"/>
  </r>
  <r>
    <x v="9"/>
    <n v="9"/>
    <n v="0"/>
    <n v="16.8"/>
    <n v="0"/>
    <n v="0"/>
    <m/>
    <n v="3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2.2167077763729583E-2"/>
    <n v="0.44334155527459163"/>
    <n v="113.734503348727"/>
    <n v="2274.6900669745401"/>
    <n v="5.345521657390169E-2"/>
    <n v="1.0691043314780337"/>
    <n v="113.734503348727"/>
    <n v="2274.6900669745401"/>
    <n v="5.345521657390169E-2"/>
    <n v="1.0691043314780337"/>
    <s v="UVG_B_Kg"/>
  </r>
  <r>
    <x v="9"/>
    <n v="10"/>
    <s v="Guarumo"/>
    <n v="4.3"/>
    <n v="23"/>
    <n v="115"/>
    <n v="-34.400642085999095"/>
    <n v="4"/>
    <n v="0"/>
    <n v="0"/>
    <m/>
    <m/>
    <m/>
    <m/>
    <m/>
    <m/>
    <m/>
    <m/>
    <m/>
    <m/>
    <s v="GARMIN Navegador"/>
    <n v="0.05"/>
    <n v="2014"/>
    <s v="LATIFOLIADO"/>
    <s v="DEPURAR"/>
    <s v="DEJAR"/>
    <x v="1"/>
    <s v="DEPURAR"/>
    <n v="1.4522012041218817E-3"/>
    <n v="2.9044024082437631E-2"/>
    <n v="4.4180813470183633"/>
    <n v="88.361626940367259"/>
    <n v="2.0764982330986306E-3"/>
    <n v="4.1529964661972604E-2"/>
    <n v="4.4180813470183633"/>
    <n v="88.361626940367259"/>
    <n v="2.0764982330986306E-3"/>
    <n v="4.1529964661972604E-2"/>
    <s v="UVG_B_Kg"/>
  </r>
  <r>
    <x v="9"/>
    <n v="11"/>
    <n v="0"/>
    <n v="14.8"/>
    <n v="0"/>
    <n v="0"/>
    <m/>
    <n v="6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7203361371057713E-2"/>
    <n v="0.34406722742115425"/>
    <n v="84.078665642218951"/>
    <n v="1681.573312844379"/>
    <n v="3.9516972851842906E-2"/>
    <n v="0.79033945703685815"/>
    <n v="84.078665642218951"/>
    <n v="1681.573312844379"/>
    <n v="3.9516972851842906E-2"/>
    <n v="0.79033945703685815"/>
    <s v="UVG_B_Kg"/>
  </r>
  <r>
    <x v="9"/>
    <n v="12"/>
    <n v="0"/>
    <n v="22.6"/>
    <n v="0"/>
    <n v="0"/>
    <m/>
    <n v="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4.0114996593688071E-2"/>
    <n v="0.80229993187376136"/>
    <n v="230.61434330174126"/>
    <n v="4612.2868660348249"/>
    <n v="0.10838874135181839"/>
    <n v="2.1677748270363679"/>
    <n v="230.61434330174126"/>
    <n v="4612.2868660348249"/>
    <n v="0.10838874135181839"/>
    <n v="2.1677748270363679"/>
    <s v="UVG_B_Kg"/>
  </r>
  <r>
    <x v="9"/>
    <n v="13"/>
    <n v="0"/>
    <n v="10.1"/>
    <n v="0"/>
    <n v="0"/>
    <m/>
    <n v="2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8.0118466648173691E-3"/>
    <n v="0.16023693329634736"/>
    <n v="33.819357065313945"/>
    <n v="676.38714130627886"/>
    <n v="1.5895097820697552E-2"/>
    <n v="0.31790195641395103"/>
    <n v="33.819357065313945"/>
    <n v="676.38714130627886"/>
    <n v="1.5895097820697552E-2"/>
    <n v="0.31790195641395103"/>
    <s v="UVG_B_Kg"/>
  </r>
  <r>
    <x v="9"/>
    <n v="14"/>
    <s v="Clico zap"/>
    <n v="93"/>
    <n v="0"/>
    <n v="0"/>
    <m/>
    <n v="9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67929087152245315"/>
    <n v="13.585817430449062"/>
    <n v="6718.2181535395084"/>
    <n v="134364.36307079016"/>
    <n v="3.1575625321635687"/>
    <n v="63.151250643271368"/>
    <n v="4678.370186681871"/>
    <n v="93567.403733637417"/>
    <n v="2.1988339877404792"/>
    <n v="43.976679754809588"/>
    <s v="UVG_B_Kg"/>
  </r>
  <r>
    <x v="9"/>
    <n v="15"/>
    <s v="Columna de cocodrilo"/>
    <n v="10"/>
    <n v="0"/>
    <n v="0"/>
    <m/>
    <n v="1.3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7.8539816339744835E-3"/>
    <n v="0.15707963267948966"/>
    <n v="33.026709725455305"/>
    <n v="660.5341945091061"/>
    <n v="1.5522553570963995E-2"/>
    <n v="0.31045107141927986"/>
    <n v="33.026709725455305"/>
    <n v="660.5341945091061"/>
    <n v="1.5522553570963995E-2"/>
    <n v="0.31045107141927986"/>
    <s v="UVG_B_Kg"/>
  </r>
  <r>
    <x v="9"/>
    <n v="16"/>
    <n v="0"/>
    <n v="14.7"/>
    <n v="0"/>
    <n v="0"/>
    <m/>
    <n v="4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6971668912855457E-2"/>
    <n v="0.33943337825710912"/>
    <n v="82.730919252623252"/>
    <n v="1654.6183850524649"/>
    <n v="3.8883532048732926E-2"/>
    <n v="0.77767064097465843"/>
    <n v="82.730919252623252"/>
    <n v="1654.6183850524649"/>
    <n v="3.8883532048732926E-2"/>
    <n v="0.77767064097465843"/>
    <s v="UVG_B_Kg"/>
  </r>
  <r>
    <x v="9"/>
    <n v="17"/>
    <s v="Chichipate"/>
    <n v="44"/>
    <n v="0"/>
    <n v="0"/>
    <m/>
    <n v="7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5205308443374599"/>
    <n v="3.0410616886749198"/>
    <n v="1128.6029947595007"/>
    <n v="22572.059895190014"/>
    <n v="0.53044340753696528"/>
    <n v="10.608868150739305"/>
    <n v="1128.6029947595007"/>
    <n v="22572.059895190014"/>
    <n v="0.53044340753696528"/>
    <n v="10.608868150739305"/>
    <s v="UVG_B_Kg"/>
  </r>
  <r>
    <x v="9"/>
    <n v="18"/>
    <n v="0"/>
    <n v="11"/>
    <n v="0"/>
    <n v="0"/>
    <m/>
    <n v="0.7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9.5033177771091243E-3"/>
    <n v="0.19006635554218249"/>
    <n v="41.450062373780455"/>
    <n v="829.00124747560903"/>
    <n v="1.9481529315676812E-2"/>
    <n v="0.3896305863135362"/>
    <n v="41.450062373780455"/>
    <n v="829.00124747560903"/>
    <n v="1.9481529315676812E-2"/>
    <n v="0.3896305863135362"/>
    <s v="UVG_B_Kg"/>
  </r>
  <r>
    <x v="9"/>
    <n v="19"/>
    <s v="Izote de montaña"/>
    <n v="43.1"/>
    <n v="0"/>
    <n v="0"/>
    <m/>
    <n v="4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4589634823087338"/>
    <n v="2.9179269646174677"/>
    <n v="1074.3560346681909"/>
    <n v="21487.120693363817"/>
    <n v="0.50494733629404964"/>
    <n v="10.098946725880994"/>
    <n v="1074.3560346681909"/>
    <n v="21487.120693363817"/>
    <n v="0.50494733629404964"/>
    <n v="10.098946725880994"/>
    <s v="UVG_B_Kg"/>
  </r>
  <r>
    <x v="9"/>
    <n v="20"/>
    <s v="Chico zapote"/>
    <n v="91"/>
    <n v="0"/>
    <n v="0"/>
    <m/>
    <n v="14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65038821910942701"/>
    <n v="13.00776438218854"/>
    <n v="6378.9626373126794"/>
    <n v="127579.25274625358"/>
    <n v="2.9981124395369592"/>
    <n v="59.962248790739174"/>
    <n v="4678.370186681871"/>
    <n v="93567.403733637417"/>
    <n v="2.1988339877404792"/>
    <n v="43.976679754809588"/>
    <s v="UVG_B_Kg"/>
  </r>
  <r>
    <x v="9"/>
    <n v="21"/>
    <s v="Columna de cocodrilo"/>
    <n v="11.5"/>
    <n v="0"/>
    <n v="0"/>
    <m/>
    <n v="2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0386890710931254E-2"/>
    <n v="0.20773781421862508"/>
    <n v="46.082838181946165"/>
    <n v="921.65676363892328"/>
    <n v="2.1658933945514696E-2"/>
    <n v="0.43317867891029388"/>
    <n v="46.082838181946165"/>
    <n v="921.65676363892328"/>
    <n v="2.1658933945514696E-2"/>
    <n v="0.43317867891029388"/>
    <s v="UVG_B_Kg"/>
  </r>
  <r>
    <x v="9"/>
    <n v="22"/>
    <s v="Zapotillo"/>
    <n v="17.2"/>
    <n v="0"/>
    <n v="0"/>
    <m/>
    <n v="3.2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2.3235219265950107E-2"/>
    <n v="0.4647043853190021"/>
    <n v="120.29559314945965"/>
    <n v="2405.9118629891927"/>
    <n v="5.653892878024603E-2"/>
    <n v="1.1307785756049205"/>
    <n v="120.29559314945965"/>
    <n v="2405.9118629891927"/>
    <n v="5.653892878024603E-2"/>
    <n v="1.1307785756049205"/>
    <s v="UVG_B_Kg"/>
  </r>
  <r>
    <x v="9"/>
    <n v="23"/>
    <n v="0"/>
    <n v="22.5"/>
    <n v="22"/>
    <n v="105"/>
    <n v="-66.560491634674392"/>
    <n v="7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3.9760782021995823E-2"/>
    <n v="0.79521564043991644"/>
    <n v="228.1896084504572"/>
    <n v="4563.7921690091434"/>
    <n v="0.10724911597171487"/>
    <n v="2.1449823194342974"/>
    <n v="228.1896084504572"/>
    <n v="4563.7921690091434"/>
    <n v="0.10724911597171487"/>
    <n v="2.1449823194342974"/>
    <s v="UVG_B_Kg"/>
  </r>
  <r>
    <x v="9"/>
    <n v="24"/>
    <s v="Sunsa"/>
    <n v="56.1"/>
    <n v="0"/>
    <n v="0"/>
    <m/>
    <n v="1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24718129538260838"/>
    <n v="4.9436259076521676"/>
    <n v="2013.8437840057661"/>
    <n v="40276.875680115321"/>
    <n v="0.94650657848271003"/>
    <n v="18.930131569654201"/>
    <n v="2013.8437840057661"/>
    <n v="40276.875680115321"/>
    <n v="0.94650657848271003"/>
    <n v="18.930131569654201"/>
    <s v="UVG_B_Kg"/>
  </r>
  <r>
    <x v="10"/>
    <n v="1"/>
    <n v="0"/>
    <n v="62.4"/>
    <n v="55"/>
    <n v="110"/>
    <n v="-26.38658825425016"/>
    <n v="8"/>
    <s v="88° 39' 3.2''"/>
    <s v="15° 40' 59.2''"/>
    <s v="88"/>
    <s v=" 3"/>
    <s v=" 3.2"/>
    <n v="-88.050014814814816"/>
    <s v="15"/>
    <s v="40"/>
    <s v="59.2"/>
    <n v="15.66694074074074"/>
    <n v="698326.676477"/>
    <n v="1733306.19408"/>
    <s v="GARMIN Navegador"/>
    <n v="0.05"/>
    <n v="2014"/>
    <s v="LATIFOLIADO"/>
    <s v="DEJAR"/>
    <s v="DEJAR"/>
    <x v="0"/>
    <s v="DEJAR"/>
    <n v="0.30581519527104484"/>
    <n v="6.1163039054208967"/>
    <n v="2595.3487878519632"/>
    <n v="51906.975757039261"/>
    <n v="1.2198139302904227"/>
    <n v="24.396278605808451"/>
    <n v="2595.3487878519632"/>
    <n v="51906.975757039261"/>
    <n v="1.2198139302904227"/>
    <n v="24.396278605808451"/>
    <s v="UVG_B_Kg"/>
  </r>
  <r>
    <x v="10"/>
    <n v="2"/>
    <n v="0"/>
    <n v="16.100000000000001"/>
    <n v="0"/>
    <n v="0"/>
    <m/>
    <n v="2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2.035830579342526E-2"/>
    <n v="0.40716611586850515"/>
    <n v="102.76301866541384"/>
    <n v="2055.2603733082765"/>
    <n v="4.8298618772744502E-2"/>
    <n v="0.9659723754548899"/>
    <n v="102.76301866541384"/>
    <n v="2055.2603733082765"/>
    <n v="4.8298618772744502E-2"/>
    <n v="0.9659723754548899"/>
    <s v="UVG_B_Kg"/>
  </r>
  <r>
    <x v="10"/>
    <n v="3"/>
    <n v="0"/>
    <n v="10"/>
    <n v="0"/>
    <n v="0"/>
    <m/>
    <n v="3.2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7.8539816339744835E-3"/>
    <n v="0.15707963267948966"/>
    <n v="33.026709725455305"/>
    <n v="660.5341945091061"/>
    <n v="1.5522553570963995E-2"/>
    <n v="0.31045107141927986"/>
    <n v="33.026709725455305"/>
    <n v="660.5341945091061"/>
    <n v="1.5522553570963995E-2"/>
    <n v="0.31045107141927986"/>
    <s v="UVG_B_Kg"/>
  </r>
  <r>
    <x v="10"/>
    <n v="4"/>
    <n v="0"/>
    <n v="72"/>
    <n v="0"/>
    <n v="0"/>
    <m/>
    <n v="6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40715040790523715"/>
    <n v="8.1430081581047418"/>
    <n v="3650.2775546092148"/>
    <n v="73005.551092184294"/>
    <n v="1.7156304506663309"/>
    <n v="34.312609013326615"/>
    <n v="3650.2775546092148"/>
    <n v="73005.551092184294"/>
    <n v="1.7156304506663309"/>
    <n v="34.312609013326615"/>
    <s v="UVG_B_Kg"/>
  </r>
  <r>
    <x v="10"/>
    <n v="5"/>
    <n v="0"/>
    <n v="69"/>
    <n v="45"/>
    <n v="120"/>
    <n v="-14.641016151377567"/>
    <n v="8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37392806559352504"/>
    <n v="7.4785613118705001"/>
    <n v="3298.1507760058912"/>
    <n v="65963.015520117813"/>
    <n v="1.5501308647227687"/>
    <n v="31.002617294455369"/>
    <n v="3298.1507760058912"/>
    <n v="65963.015520117813"/>
    <n v="1.5501308647227687"/>
    <n v="31.002617294455369"/>
    <s v="UVG_B_Kg"/>
  </r>
  <r>
    <x v="10"/>
    <n v="6"/>
    <n v="0"/>
    <n v="56.9"/>
    <n v="30"/>
    <n v="110"/>
    <n v="-43.402543005299933"/>
    <n v="7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25428129477972122"/>
    <n v="5.0856258955944238"/>
    <n v="2082.9696758847244"/>
    <n v="41659.393517694487"/>
    <n v="0.97899574766582043"/>
    <n v="19.579914953316408"/>
    <n v="2082.9696758847244"/>
    <n v="41659.393517694487"/>
    <n v="0.97899574766582043"/>
    <n v="19.579914953316408"/>
    <s v="UVG_B_Kg"/>
  </r>
  <r>
    <x v="10"/>
    <n v="7"/>
    <n v="0"/>
    <n v="11.9"/>
    <n v="0"/>
    <n v="0"/>
    <m/>
    <n v="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1122023391871266E-2"/>
    <n v="0.22244046783742533"/>
    <n v="49.995653256156423"/>
    <n v="999.91306512312838"/>
    <n v="2.3497957030393517E-2"/>
    <n v="0.46995914060787031"/>
    <n v="49.995653256156423"/>
    <n v="999.91306512312838"/>
    <n v="2.3497957030393517E-2"/>
    <n v="0.46995914060787031"/>
    <s v="UVG_B_Kg"/>
  </r>
  <r>
    <x v="10"/>
    <n v="8"/>
    <n v="0"/>
    <n v="29.1"/>
    <n v="0"/>
    <n v="0"/>
    <m/>
    <n v="8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6.6508301874659337E-2"/>
    <n v="1.3301660374931867"/>
    <n v="421.26840421437322"/>
    <n v="8425.3680842874637"/>
    <n v="0.1979961499807554"/>
    <n v="3.9599229996151073"/>
    <n v="421.26840421437322"/>
    <n v="8425.3680842874637"/>
    <n v="0.1979961499807554"/>
    <n v="3.9599229996151073"/>
    <s v="UVG_B_Kg"/>
  </r>
  <r>
    <x v="10"/>
    <n v="9"/>
    <n v="0"/>
    <n v="18.899999999999999"/>
    <n v="0"/>
    <n v="0"/>
    <m/>
    <n v="5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2.805520779472024E-2"/>
    <n v="0.56110415589440477"/>
    <n v="150.59646729750378"/>
    <n v="3011.9293459500755"/>
    <n v="7.0780339629826772E-2"/>
    <n v="1.4156067925965354"/>
    <n v="150.59646729750378"/>
    <n v="3011.9293459500755"/>
    <n v="7.0780339629826772E-2"/>
    <n v="1.4156067925965354"/>
    <s v="UVG_B_Kg"/>
  </r>
  <r>
    <x v="10"/>
    <n v="10"/>
    <n v="0"/>
    <n v="13.8"/>
    <n v="0"/>
    <n v="0"/>
    <m/>
    <n v="4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4957122623741007E-2"/>
    <n v="0.29914245247482013"/>
    <n v="71.165337059048142"/>
    <n v="1423.3067411809627"/>
    <n v="3.3447708417752624E-2"/>
    <n v="0.6689541683550525"/>
    <n v="71.165337059048142"/>
    <n v="1423.3067411809627"/>
    <n v="3.3447708417752624E-2"/>
    <n v="0.6689541683550525"/>
    <s v="UVG_B_Kg"/>
  </r>
  <r>
    <x v="10"/>
    <n v="11"/>
    <n v="0"/>
    <n v="10.6"/>
    <n v="0"/>
    <n v="0"/>
    <m/>
    <n v="2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8.8247337639337283E-3"/>
    <n v="0.17649467527867455"/>
    <n v="37.947405867325628"/>
    <n v="758.9481173465125"/>
    <n v="1.7835280757643047E-2"/>
    <n v="0.35670561515286081"/>
    <n v="37.947405867325628"/>
    <n v="758.9481173465125"/>
    <n v="1.7835280757643047E-2"/>
    <n v="0.35670561515286081"/>
    <s v="UVG_B_Kg"/>
  </r>
  <r>
    <x v="10"/>
    <n v="12"/>
    <n v="0"/>
    <n v="30.5"/>
    <n v="0"/>
    <n v="0"/>
    <m/>
    <n v="4.5999999999999996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7.3061664150047625E-2"/>
    <n v="1.4612332830009525"/>
    <n v="471.19298861035389"/>
    <n v="9423.8597722070772"/>
    <n v="0.22146070464686632"/>
    <n v="4.4292140929373263"/>
    <n v="471.19298861035389"/>
    <n v="9423.8597722070772"/>
    <n v="0.22146070464686632"/>
    <n v="4.4292140929373263"/>
    <s v="UVG_B_Kg"/>
  </r>
  <r>
    <x v="10"/>
    <n v="13"/>
    <s v="Tamarindo"/>
    <n v="45.2"/>
    <n v="0"/>
    <n v="0"/>
    <m/>
    <n v="1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6045998637475228"/>
    <n v="3.2091997274950455"/>
    <n v="1203.356533220845"/>
    <n v="24067.130664416898"/>
    <n v="0.5655775706137971"/>
    <n v="11.311551412275941"/>
    <n v="1203.356533220845"/>
    <n v="24067.130664416898"/>
    <n v="0.5655775706137971"/>
    <n v="11.311551412275941"/>
    <s v="UVG_B_Kg"/>
  </r>
  <r>
    <x v="10"/>
    <n v="14"/>
    <n v="0"/>
    <n v="63.8"/>
    <n v="0"/>
    <n v="0"/>
    <m/>
    <n v="8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31969161002195096"/>
    <n v="6.3938322004390189"/>
    <n v="2736.2983297270744"/>
    <n v="54725.966594541482"/>
    <n v="1.2860602149717248"/>
    <n v="25.721204299434497"/>
    <n v="2736.2983297270744"/>
    <n v="54725.966594541482"/>
    <n v="1.2860602149717248"/>
    <n v="25.721204299434497"/>
    <s v="UVG_B_Kg"/>
  </r>
  <r>
    <x v="10"/>
    <n v="15"/>
    <n v="0"/>
    <n v="10.5"/>
    <n v="0"/>
    <n v="0"/>
    <m/>
    <n v="2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8.6590147514568668E-3"/>
    <n v="0.17318029502913732"/>
    <n v="37.099684439743179"/>
    <n v="741.99368879486349"/>
    <n v="1.7436851686679293E-2"/>
    <n v="0.34873703373358583"/>
    <n v="37.099684439743179"/>
    <n v="741.99368879486349"/>
    <n v="1.7436851686679293E-2"/>
    <n v="0.34873703373358583"/>
    <s v="UVG_B_Kg"/>
  </r>
  <r>
    <x v="10"/>
    <n v="16"/>
    <n v="0"/>
    <n v="68.400000000000006"/>
    <n v="0"/>
    <n v="0"/>
    <m/>
    <n v="6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36745324313447658"/>
    <n v="7.3490648626895316"/>
    <n v="3230.2034632093341"/>
    <n v="64604.069264186677"/>
    <n v="1.5181956277083868"/>
    <n v="30.363912554167737"/>
    <n v="3230.2034632093341"/>
    <n v="64604.069264186677"/>
    <n v="1.5181956277083868"/>
    <n v="30.363912554167737"/>
    <s v="UVG_B_Kg"/>
  </r>
  <r>
    <x v="10"/>
    <n v="17"/>
    <n v="0"/>
    <n v="27.9"/>
    <n v="0"/>
    <n v="0"/>
    <m/>
    <n v="6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6.1136178437020752E-2"/>
    <n v="1.222723568740415"/>
    <n v="381.03720595914871"/>
    <n v="7620.7441191829739"/>
    <n v="0.17908748680079989"/>
    <n v="3.5817497360159973"/>
    <n v="381.03720595914871"/>
    <n v="7620.7441191829739"/>
    <n v="0.17908748680079989"/>
    <n v="3.5817497360159973"/>
    <s v="UVG_B_Kg"/>
  </r>
  <r>
    <x v="10"/>
    <n v="18"/>
    <s v="Cacao de montaña"/>
    <n v="14.9"/>
    <n v="0"/>
    <n v="0"/>
    <m/>
    <n v="3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7436624625586747E-2"/>
    <n v="0.34873249251173494"/>
    <n v="85.439069920442137"/>
    <n v="1708.7813984088427"/>
    <n v="4.0156362862607799E-2"/>
    <n v="0.80312725725215606"/>
    <n v="85.439069920442137"/>
    <n v="1708.7813984088427"/>
    <n v="4.0156362862607799E-2"/>
    <n v="0.80312725725215606"/>
    <s v="UVG_B_Kg"/>
  </r>
  <r>
    <x v="10"/>
    <n v="19"/>
    <s v="Mano de leon"/>
    <n v="25.7"/>
    <n v="0"/>
    <n v="0"/>
    <m/>
    <n v="6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5.1874763294238062E-2"/>
    <n v="1.0374952658847612"/>
    <n v="313.28890024594403"/>
    <n v="6265.7780049188805"/>
    <n v="0.14724578311559369"/>
    <n v="2.9449156623118737"/>
    <n v="313.28890024594403"/>
    <n v="6265.7780049188805"/>
    <n v="0.14724578311559369"/>
    <n v="2.9449156623118737"/>
    <s v="UVG_B_Kg"/>
  </r>
  <r>
    <x v="10"/>
    <n v="20"/>
    <n v="0"/>
    <n v="16.100000000000001"/>
    <n v="0"/>
    <n v="0"/>
    <m/>
    <n v="3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2.035830579342526E-2"/>
    <n v="0.40716611586850515"/>
    <n v="102.76301866541384"/>
    <n v="2055.2603733082765"/>
    <n v="4.8298618772744502E-2"/>
    <n v="0.9659723754548899"/>
    <n v="102.76301866541384"/>
    <n v="2055.2603733082765"/>
    <n v="4.8298618772744502E-2"/>
    <n v="0.9659723754548899"/>
    <s v="UVG_B_Kg"/>
  </r>
  <r>
    <x v="10"/>
    <n v="21"/>
    <s v="Ceiba"/>
    <n v="12.2"/>
    <n v="0"/>
    <n v="0"/>
    <m/>
    <n v="3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168986626400762E-2"/>
    <n v="0.23379732528015237"/>
    <n v="53.052374835244144"/>
    <n v="1061.0474967048829"/>
    <n v="2.4934616172564747E-2"/>
    <n v="0.49869232345129494"/>
    <n v="53.052374835244144"/>
    <n v="1061.0474967048829"/>
    <n v="2.4934616172564747E-2"/>
    <n v="0.49869232345129494"/>
    <s v="UVG_B_Kg"/>
  </r>
  <r>
    <x v="11"/>
    <n v="1"/>
    <n v="0"/>
    <n v="76.8"/>
    <n v="0"/>
    <n v="0"/>
    <m/>
    <n v="11"/>
    <s v="X"/>
    <s v="Y"/>
    <m/>
    <m/>
    <m/>
    <m/>
    <m/>
    <m/>
    <m/>
    <m/>
    <m/>
    <m/>
    <s v="GARMIN Navegador"/>
    <n v="0.05"/>
    <n v="2014"/>
    <s v="LATIFOLIADO"/>
    <s v="DEJAR"/>
    <s v="DEJAR"/>
    <x v="0"/>
    <s v="DEJAR"/>
    <n v="0.46324668632773652"/>
    <n v="9.2649337265547302"/>
    <n v="4257.2840822071357"/>
    <n v="85145.681644142707"/>
    <n v="2.0009235186373537"/>
    <n v="40.018470372747075"/>
    <n v="4257.2840822071357"/>
    <n v="85145.681644142707"/>
    <n v="2.0009235186373537"/>
    <n v="40.018470372747075"/>
    <s v="UVG_B_Kg"/>
  </r>
  <r>
    <x v="11"/>
    <n v="2"/>
    <n v="0"/>
    <n v="71.2"/>
    <n v="0"/>
    <n v="0"/>
    <m/>
    <n v="16"/>
    <s v="88° 39' 4.7''"/>
    <s v="15° 41' 0.7''"/>
    <s v="88"/>
    <s v=" 3"/>
    <s v=" 4.7"/>
    <n v="-88.050021759259266"/>
    <s v="15"/>
    <s v="41"/>
    <s v=" 0.7"/>
    <n v="15.683336574074074"/>
    <n v="698310.09492399998"/>
    <n v="1735120.9251000001"/>
    <s v="GARMIN Navegador"/>
    <n v="0.05"/>
    <n v="2014"/>
    <s v="LATIFOLIADO"/>
    <s v="DEJAR"/>
    <s v="DEJAR"/>
    <x v="0"/>
    <s v="DEJAR"/>
    <n v="0.39815288654535608"/>
    <n v="7.9630577309071215"/>
    <n v="3554.3476110672777"/>
    <n v="71086.952221345549"/>
    <n v="1.6705433772016203"/>
    <n v="33.410867544032406"/>
    <n v="3554.3476110672777"/>
    <n v="71086.952221345549"/>
    <n v="1.6705433772016203"/>
    <n v="33.410867544032406"/>
    <s v="UVG_B_Kg"/>
  </r>
  <r>
    <x v="11"/>
    <n v="3"/>
    <n v="0"/>
    <n v="12.1"/>
    <n v="0"/>
    <n v="0"/>
    <m/>
    <n v="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149901451030204E-2"/>
    <n v="0.2299802902060408"/>
    <n v="52.021763144817932"/>
    <n v="1040.4352628963586"/>
    <n v="2.4450228678064428E-2"/>
    <n v="0.48900457356128857"/>
    <n v="52.021763144817932"/>
    <n v="1040.4352628963586"/>
    <n v="2.4450228678064428E-2"/>
    <n v="0.48900457356128857"/>
    <s v="UVG_B_Kg"/>
  </r>
  <r>
    <x v="11"/>
    <n v="4"/>
    <n v="0"/>
    <n v="16.2"/>
    <n v="0"/>
    <n v="0"/>
    <m/>
    <n v="4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2.0611989400202632E-2"/>
    <n v="0.41223978800405264"/>
    <n v="104.29090634270933"/>
    <n v="2085.8181268541866"/>
    <n v="4.9016725981073386E-2"/>
    <n v="0.98033451962146756"/>
    <n v="104.29090634270933"/>
    <n v="2085.8181268541866"/>
    <n v="4.9016725981073386E-2"/>
    <n v="0.98033451962146756"/>
    <s v="UVG_B_Kg"/>
  </r>
  <r>
    <x v="11"/>
    <n v="5"/>
    <n v="0"/>
    <n v="30.29"/>
    <n v="0"/>
    <n v="0"/>
    <m/>
    <n v="6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7.2059032708636075E-2"/>
    <n v="1.4411806541727215"/>
    <n v="463.49701375297406"/>
    <n v="9269.94027505948"/>
    <n v="0.21784359646389778"/>
    <n v="4.356871929277955"/>
    <n v="463.49701375297406"/>
    <n v="9269.94027505948"/>
    <n v="0.21784359646389778"/>
    <n v="4.356871929277955"/>
    <s v="UVG_B_Kg"/>
  </r>
  <r>
    <x v="11"/>
    <n v="6"/>
    <n v="0"/>
    <n v="26.2"/>
    <n v="0"/>
    <n v="0"/>
    <m/>
    <n v="9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5.3912871528254448E-2"/>
    <n v="1.0782574305650889"/>
    <n v="328.01267071463769"/>
    <n v="6560.2534142927534"/>
    <n v="0.1541659552358797"/>
    <n v="3.0833191047175941"/>
    <n v="328.01267071463769"/>
    <n v="6560.2534142927534"/>
    <n v="0.1541659552358797"/>
    <n v="3.0833191047175941"/>
    <s v="UVG_B_Kg"/>
  </r>
  <r>
    <x v="11"/>
    <n v="7"/>
    <n v="0"/>
    <n v="44.2"/>
    <n v="0"/>
    <n v="0"/>
    <m/>
    <n v="6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534385267939791"/>
    <n v="3.0687705358795818"/>
    <n v="1140.8689030661244"/>
    <n v="22817.378061322488"/>
    <n v="0.53620838444107843"/>
    <n v="10.724167688821568"/>
    <n v="1140.8689030661244"/>
    <n v="22817.378061322488"/>
    <n v="0.53620838444107843"/>
    <n v="10.724167688821568"/>
    <s v="UVG_B_Kg"/>
  </r>
  <r>
    <x v="11"/>
    <n v="8"/>
    <n v="0"/>
    <n v="53"/>
    <n v="55"/>
    <n v="140"/>
    <n v="11.78096751129668"/>
    <n v="9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22061834409834324"/>
    <n v="4.4123668819668644"/>
    <n v="1758.6689149646609"/>
    <n v="35173.378299293217"/>
    <n v="0.8265743900333905"/>
    <n v="16.531487800667811"/>
    <n v="1758.6689149646609"/>
    <n v="35173.378299293217"/>
    <n v="0.8265743900333905"/>
    <n v="16.531487800667811"/>
    <s v="UVG_B_Kg"/>
  </r>
  <r>
    <x v="11"/>
    <n v="9"/>
    <n v="0"/>
    <n v="22.8"/>
    <n v="58"/>
    <n v="145"/>
    <n v="18.002539816626822"/>
    <n v="6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4.0828138126052953E-2"/>
    <n v="0.81656276252105897"/>
    <n v="235.50850554664373"/>
    <n v="4710.1701109328742"/>
    <n v="0.11068899760692255"/>
    <n v="2.2137799521384509"/>
    <n v="235.50850554664373"/>
    <n v="4710.1701109328742"/>
    <n v="0.11068899760692255"/>
    <n v="2.2137799521384509"/>
    <s v="UVG_B_Kg"/>
  </r>
  <r>
    <x v="11"/>
    <n v="10"/>
    <n v="0"/>
    <n v="38.700000000000003"/>
    <n v="0"/>
    <n v="0"/>
    <m/>
    <n v="12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1762829753387244"/>
    <n v="2.3525659506774486"/>
    <n v="831.15165050587848"/>
    <n v="16623.033010117568"/>
    <n v="0.39064127573776286"/>
    <n v="7.8128255147552563"/>
    <n v="831.15165050587848"/>
    <n v="16623.033010117568"/>
    <n v="0.39064127573776286"/>
    <n v="7.8128255147552563"/>
    <s v="UVG_B_Kg"/>
  </r>
  <r>
    <x v="11"/>
    <n v="11"/>
    <n v="0"/>
    <n v="13.9"/>
    <n v="0"/>
    <n v="0"/>
    <m/>
    <n v="7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5174677915002103E-2"/>
    <n v="0.30349355830004204"/>
    <n v="72.40065845714723"/>
    <n v="1448.0131691429444"/>
    <n v="3.4028309474859193E-2"/>
    <n v="0.68056618949718384"/>
    <n v="72.40065845714723"/>
    <n v="1448.0131691429444"/>
    <n v="3.4028309474859193E-2"/>
    <n v="0.68056618949718384"/>
    <s v="UVG_B_Kg"/>
  </r>
  <r>
    <x v="11"/>
    <n v="12"/>
    <n v="0"/>
    <n v="15.5"/>
    <n v="0"/>
    <n v="0"/>
    <m/>
    <n v="7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8869190875623696E-2"/>
    <n v="0.37738381751247391"/>
    <n v="93.869134877908024"/>
    <n v="1877.3826975581603"/>
    <n v="4.4118493392616774E-2"/>
    <n v="0.88236986785233529"/>
    <n v="93.869134877908024"/>
    <n v="1877.3826975581603"/>
    <n v="4.4118493392616774E-2"/>
    <n v="0.88236986785233529"/>
    <s v="UVG_B_Kg"/>
  </r>
  <r>
    <x v="11"/>
    <n v="13"/>
    <n v="0"/>
    <n v="13.1"/>
    <n v="0"/>
    <n v="0"/>
    <m/>
    <n v="4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3478217882063612E-2"/>
    <n v="0.26956435764127223"/>
    <n v="62.861192475550233"/>
    <n v="1257.2238495110046"/>
    <n v="2.954476046350861E-2"/>
    <n v="0.59089520927017214"/>
    <n v="62.861192475550233"/>
    <n v="1257.2238495110046"/>
    <n v="2.954476046350861E-2"/>
    <n v="0.59089520927017214"/>
    <s v="UVG_B_Kg"/>
  </r>
  <r>
    <x v="11"/>
    <n v="14"/>
    <n v="0"/>
    <n v="43.2"/>
    <n v="43"/>
    <n v="120"/>
    <n v="-15.990714428624329"/>
    <n v="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4657414684588541"/>
    <n v="2.9314829369177078"/>
    <n v="1080.3069617119343"/>
    <n v="21606.139234238683"/>
    <n v="0.50774427200460914"/>
    <n v="10.15488544009218"/>
    <n v="1080.3069617119343"/>
    <n v="21606.139234238683"/>
    <n v="0.50774427200460914"/>
    <n v="10.15488544009218"/>
    <s v="UVG_B_Kg"/>
  </r>
  <r>
    <x v="11"/>
    <n v="15"/>
    <n v="0"/>
    <n v="26.8"/>
    <n v="0"/>
    <n v="0"/>
    <m/>
    <n v="7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5.6410437687858334E-2"/>
    <n v="1.1282087537571666"/>
    <n v="346.20144188490201"/>
    <n v="6924.0288376980398"/>
    <n v="0.16271467768590392"/>
    <n v="3.2542935537180786"/>
    <n v="346.20144188490201"/>
    <n v="6924.0288376980398"/>
    <n v="0.16271467768590392"/>
    <n v="3.2542935537180786"/>
    <s v="UVG_B_Kg"/>
  </r>
  <r>
    <x v="11"/>
    <n v="16"/>
    <n v="0"/>
    <n v="18"/>
    <n v="0"/>
    <n v="0"/>
    <m/>
    <n v="8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2.5446900494077322E-2"/>
    <n v="0.50893800988154636"/>
    <n v="134.06329154071116"/>
    <n v="2681.2658308142231"/>
    <n v="6.3009747024134241E-2"/>
    <n v="1.2601949404826847"/>
    <n v="134.06329154071116"/>
    <n v="2681.2658308142231"/>
    <n v="6.3009747024134241E-2"/>
    <n v="1.2601949404826847"/>
    <s v="UVG_B_Kg"/>
  </r>
  <r>
    <x v="11"/>
    <n v="17"/>
    <n v="0"/>
    <n v="11.9"/>
    <n v="0"/>
    <n v="0"/>
    <m/>
    <n v="6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1122023391871266E-2"/>
    <n v="0.22244046783742533"/>
    <n v="49.995653256156423"/>
    <n v="999.91306512312838"/>
    <n v="2.3497957030393517E-2"/>
    <n v="0.46995914060787031"/>
    <n v="49.995653256156423"/>
    <n v="999.91306512312838"/>
    <n v="2.3497957030393517E-2"/>
    <n v="0.46995914060787031"/>
    <s v="UVG_B_Kg"/>
  </r>
  <r>
    <x v="11"/>
    <n v="18"/>
    <n v="0"/>
    <n v="14.6"/>
    <n v="0"/>
    <n v="0"/>
    <m/>
    <n v="4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6741547250980007E-2"/>
    <n v="0.33483094501960009"/>
    <n v="81.395797882754522"/>
    <n v="1627.9159576550903"/>
    <n v="3.8256025004894625E-2"/>
    <n v="0.76512050009789245"/>
    <n v="81.395797882754522"/>
    <n v="1627.9159576550903"/>
    <n v="3.8256025004894625E-2"/>
    <n v="0.76512050009789245"/>
    <s v="UVG_B_Kg"/>
  </r>
  <r>
    <x v="11"/>
    <n v="19"/>
    <n v="0"/>
    <n v="32.299999999999997"/>
    <n v="0"/>
    <n v="0"/>
    <m/>
    <n v="6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8.1939804989092355E-2"/>
    <n v="1.6387960997818469"/>
    <n v="540.20004174226926"/>
    <n v="10804.000834845385"/>
    <n v="0.25389401961886654"/>
    <n v="5.0778803923773301"/>
    <n v="540.20004174226926"/>
    <n v="10804.000834845385"/>
    <n v="0.25389401961886654"/>
    <n v="5.0778803923773301"/>
    <s v="UVG_B_Kg"/>
  </r>
  <r>
    <x v="11"/>
    <n v="20"/>
    <n v="0"/>
    <n v="49.1"/>
    <n v="0"/>
    <n v="0"/>
    <m/>
    <n v="9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8934457463002022"/>
    <n v="3.7868914926004043"/>
    <n v="1465.7670568871054"/>
    <n v="29315.341137742107"/>
    <n v="0.68891051673693948"/>
    <n v="13.778210334738789"/>
    <n v="1465.7670568871054"/>
    <n v="29315.341137742107"/>
    <n v="0.68891051673693948"/>
    <n v="13.778210334738789"/>
    <s v="UVG_B_Kg"/>
  </r>
  <r>
    <x v="11"/>
    <n v="21"/>
    <n v="0"/>
    <n v="23"/>
    <n v="0"/>
    <n v="0"/>
    <m/>
    <n v="6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4.1547562843725017E-2"/>
    <n v="0.83095125687450033"/>
    <n v="240.46242571758225"/>
    <n v="4809.2485143516451"/>
    <n v="0.11301734008726365"/>
    <n v="2.260346801745273"/>
    <n v="240.46242571758225"/>
    <n v="4809.2485143516451"/>
    <n v="0.11301734008726365"/>
    <n v="2.260346801745273"/>
    <s v="UVG_B_Kg"/>
  </r>
  <r>
    <x v="11"/>
    <n v="22"/>
    <n v="0"/>
    <n v="15"/>
    <n v="0"/>
    <n v="0"/>
    <m/>
    <n v="7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7671458676442587E-2"/>
    <n v="0.35342917352885173"/>
    <n v="86.812164819560579"/>
    <n v="1736.2432963912115"/>
    <n v="4.0801717465193475E-2"/>
    <n v="0.81603434930386942"/>
    <n v="86.812164819560579"/>
    <n v="1736.2432963912115"/>
    <n v="4.0801717465193475E-2"/>
    <n v="0.81603434930386942"/>
    <s v="UVG_B_Kg"/>
  </r>
  <r>
    <x v="12"/>
    <n v="1"/>
    <n v="0"/>
    <n v="51"/>
    <n v="0"/>
    <n v="0"/>
    <m/>
    <n v="8"/>
    <s v="X"/>
    <s v="Y"/>
    <m/>
    <m/>
    <m/>
    <m/>
    <m/>
    <m/>
    <m/>
    <m/>
    <m/>
    <m/>
    <s v="GARMIN Navegador"/>
    <n v="0.05"/>
    <n v="2014"/>
    <s v="LATIFOLIADO"/>
    <s v="DEJAR"/>
    <s v="DEJAR"/>
    <x v="0"/>
    <s v="DEJAR"/>
    <n v="0.2042820622996763"/>
    <n v="4.0856412459935258"/>
    <n v="1604.5967189869084"/>
    <n v="32091.934379738166"/>
    <n v="0.75416045792384689"/>
    <n v="15.083209158476937"/>
    <n v="1604.5967189869084"/>
    <n v="32091.934379738166"/>
    <n v="0.75416045792384689"/>
    <n v="15.083209158476937"/>
    <s v="UVG_B_Kg"/>
  </r>
  <r>
    <x v="12"/>
    <n v="2"/>
    <n v="0"/>
    <n v="11.6"/>
    <n v="0"/>
    <n v="0"/>
    <m/>
    <n v="3"/>
    <s v="88° 38' 52.7''"/>
    <s v="15° 41' 1.9''"/>
    <s v="88"/>
    <s v="38"/>
    <s v="52.7"/>
    <n v="-88.633577314814815"/>
    <s v="15"/>
    <s v="41"/>
    <s v=" 1.9"/>
    <n v="15.683342129629629"/>
    <n v="700073.40041"/>
    <n v="1735137.0044"/>
    <s v="GARMIN Navegador"/>
    <n v="0.05"/>
    <n v="2014"/>
    <s v="LATIFOLIADO"/>
    <s v="DEJAR"/>
    <s v="DEJAR"/>
    <x v="0"/>
    <s v="DEJAR"/>
    <n v="1.0568317686676062E-2"/>
    <n v="0.21136635373352122"/>
    <n v="47.043710780074015"/>
    <n v="940.87421560148027"/>
    <n v="2.2110544066634787E-2"/>
    <n v="0.4422108813326957"/>
    <n v="47.043710780074015"/>
    <n v="940.87421560148027"/>
    <n v="2.2110544066634787E-2"/>
    <n v="0.4422108813326957"/>
    <s v="UVG_B_Kg"/>
  </r>
  <r>
    <x v="12"/>
    <n v="3"/>
    <n v="0"/>
    <n v="13.5"/>
    <n v="0"/>
    <n v="0"/>
    <m/>
    <n v="3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4313881527918496E-2"/>
    <n v="0.28627763055836991"/>
    <n v="67.533172179763213"/>
    <n v="1350.6634435952642"/>
    <n v="3.1740590924488707E-2"/>
    <n v="0.63481181848977419"/>
    <n v="67.533172179763213"/>
    <n v="1350.6634435952642"/>
    <n v="3.1740590924488707E-2"/>
    <n v="0.63481181848977419"/>
    <s v="UVG_B_Kg"/>
  </r>
  <r>
    <x v="12"/>
    <n v="4"/>
    <s v="Cacao de montaña"/>
    <n v="17.3"/>
    <n v="30"/>
    <n v="50"/>
    <n v="35.382077235676718"/>
    <n v="4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2.3506181632322234E-2"/>
    <n v="0.47012363264644463"/>
    <n v="121.96931273174864"/>
    <n v="2439.3862546349728"/>
    <n v="5.7325576983921857E-2"/>
    <n v="1.1465115396784371"/>
    <n v="121.96931273174864"/>
    <n v="2439.3862546349728"/>
    <n v="5.7325576983921857E-2"/>
    <n v="1.1465115396784371"/>
    <s v="UVG_B_Kg"/>
  </r>
  <r>
    <x v="12"/>
    <n v="5"/>
    <s v="Garay"/>
    <n v="68"/>
    <n v="30"/>
    <n v="140"/>
    <n v="-5.2349872397530941"/>
    <n v="6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36316811075498018"/>
    <n v="7.2633622150996029"/>
    <n v="3185.3607760375917"/>
    <n v="63707.21552075183"/>
    <n v="1.4971195647376681"/>
    <n v="29.94239129475336"/>
    <n v="3185.3607760375917"/>
    <n v="63707.21552075183"/>
    <n v="1.4971195647376681"/>
    <n v="29.94239129475336"/>
    <s v="UVG_B_Kg"/>
  </r>
  <r>
    <x v="12"/>
    <n v="6"/>
    <n v="0"/>
    <n v="83.8"/>
    <n v="0"/>
    <n v="0"/>
    <m/>
    <n v="7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55154114785687769"/>
    <n v="11.030822957137554"/>
    <n v="5241.1508569339976"/>
    <n v="104823.01713867995"/>
    <n v="2.4633409027589788"/>
    <n v="49.26681805517957"/>
    <n v="4678.370186681871"/>
    <n v="93567.403733637417"/>
    <n v="2.1988339877404792"/>
    <n v="43.976679754809588"/>
    <s v="UVG_B_Kg"/>
  </r>
  <r>
    <x v="12"/>
    <n v="7"/>
    <s v="Tamarindo"/>
    <n v="54"/>
    <n v="30"/>
    <n v="125"/>
    <n v="-17.015954751049769"/>
    <n v="10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22902210444669593"/>
    <n v="4.5804420889339186"/>
    <n v="1838.7943468066326"/>
    <n v="36775.886936132651"/>
    <n v="0.86423334299911725"/>
    <n v="17.284666859982345"/>
    <n v="1838.7943468066326"/>
    <n v="36775.886936132651"/>
    <n v="0.86423334299911725"/>
    <n v="17.284666859982345"/>
    <s v="UVG_B_Kg"/>
  </r>
  <r>
    <x v="12"/>
    <n v="8"/>
    <n v="0"/>
    <n v="49.6"/>
    <n v="0"/>
    <n v="0"/>
    <m/>
    <n v="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9322051456638661"/>
    <n v="3.8644102913277321"/>
    <n v="1501.5950920911744"/>
    <n v="30031.901841823485"/>
    <n v="0.70574969328285186"/>
    <n v="14.114993865657036"/>
    <n v="1501.5950920911744"/>
    <n v="30031.901841823485"/>
    <n v="0.70574969328285186"/>
    <n v="14.114993865657036"/>
    <s v="UVG_B_Kg"/>
  </r>
  <r>
    <x v="12"/>
    <n v="9"/>
    <n v="0"/>
    <n v="14.6"/>
    <n v="0"/>
    <n v="0"/>
    <m/>
    <n v="5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6741547250980007E-2"/>
    <n v="0.33483094501960009"/>
    <n v="81.395797882754522"/>
    <n v="1627.9159576550903"/>
    <n v="3.8256025004894625E-2"/>
    <n v="0.76512050009789245"/>
    <n v="81.395797882754522"/>
    <n v="1627.9159576550903"/>
    <n v="3.8256025004894625E-2"/>
    <n v="0.76512050009789245"/>
    <s v="UVG_B_Kg"/>
  </r>
  <r>
    <x v="12"/>
    <n v="10"/>
    <n v="0"/>
    <n v="15.9"/>
    <n v="0"/>
    <n v="0"/>
    <m/>
    <n v="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9855650968850891E-2"/>
    <n v="0.39711301937701782"/>
    <n v="99.746431903568038"/>
    <n v="1994.9286380713606"/>
    <n v="4.6880822994676975E-2"/>
    <n v="0.93761645989353948"/>
    <n v="99.746431903568038"/>
    <n v="1994.9286380713606"/>
    <n v="4.6880822994676975E-2"/>
    <n v="0.93761645989353948"/>
    <s v="UVG_B_Kg"/>
  </r>
  <r>
    <x v="12"/>
    <n v="11"/>
    <n v="0"/>
    <n v="11.7"/>
    <n v="0"/>
    <n v="0"/>
    <m/>
    <n v="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0751315458747667E-2"/>
    <n v="0.21502630917495333"/>
    <n v="48.016112181724274"/>
    <n v="960.3222436344854"/>
    <n v="2.2567572725410406E-2"/>
    <n v="0.45135145450820807"/>
    <n v="48.016112181724274"/>
    <n v="960.3222436344854"/>
    <n v="2.2567572725410406E-2"/>
    <n v="0.45135145450820807"/>
    <s v="UVG_B_Kg"/>
  </r>
  <r>
    <x v="12"/>
    <n v="12"/>
    <n v="0"/>
    <n v="115.9"/>
    <n v="0"/>
    <n v="0"/>
    <m/>
    <n v="12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0550104303266878"/>
    <n v="21.100208606533755"/>
    <n v="11353.213889925382"/>
    <n v="227064.27779850762"/>
    <n v="5.3360105282649286"/>
    <n v="106.72021056529857"/>
    <n v="4678.370186681871"/>
    <n v="93567.403733637417"/>
    <n v="2.1988339877404792"/>
    <n v="43.976679754809588"/>
    <s v="UVG_B_Kg"/>
  </r>
  <r>
    <x v="12"/>
    <n v="13"/>
    <s v="Plumajillo"/>
    <n v="72"/>
    <n v="0"/>
    <n v="0"/>
    <m/>
    <n v="8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40715040790523715"/>
    <n v="8.1430081581047418"/>
    <n v="3650.2775546092148"/>
    <n v="73005.551092184294"/>
    <n v="1.7156304506663309"/>
    <n v="34.312609013326615"/>
    <n v="3650.2775546092148"/>
    <n v="73005.551092184294"/>
    <n v="1.7156304506663309"/>
    <n v="34.312609013326615"/>
    <s v="UVG_B_Kg"/>
  </r>
  <r>
    <x v="12"/>
    <n v="14"/>
    <n v="0"/>
    <n v="36.299999999999997"/>
    <n v="0"/>
    <n v="0"/>
    <m/>
    <n v="9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0349113059271836"/>
    <n v="2.069822611854367"/>
    <n v="713.52361173794088"/>
    <n v="14270.472234758818"/>
    <n v="0.33535609751683221"/>
    <n v="6.7071219503366439"/>
    <n v="713.52361173794088"/>
    <n v="14270.472234758818"/>
    <n v="0.33535609751683221"/>
    <n v="6.7071219503366439"/>
    <s v="UVG_B_Kg"/>
  </r>
  <r>
    <x v="12"/>
    <n v="15"/>
    <n v="0"/>
    <n v="10"/>
    <n v="0"/>
    <n v="0"/>
    <m/>
    <n v="4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7.8539816339744835E-3"/>
    <n v="0.15707963267948966"/>
    <n v="33.026709725455305"/>
    <n v="660.5341945091061"/>
    <n v="1.5522553570963995E-2"/>
    <n v="0.31045107141927986"/>
    <n v="33.026709725455305"/>
    <n v="660.5341945091061"/>
    <n v="1.5522553570963995E-2"/>
    <n v="0.31045107141927986"/>
    <s v="UVG_B_Kg"/>
  </r>
  <r>
    <x v="12"/>
    <n v="16"/>
    <n v="0"/>
    <n v="13.5"/>
    <n v="0"/>
    <n v="0"/>
    <m/>
    <n v="5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4313881527918496E-2"/>
    <n v="0.28627763055836991"/>
    <n v="67.533172179763213"/>
    <n v="1350.6634435952642"/>
    <n v="3.1740590924488707E-2"/>
    <n v="0.63481181848977419"/>
    <n v="67.533172179763213"/>
    <n v="1350.6634435952642"/>
    <n v="3.1740590924488707E-2"/>
    <n v="0.63481181848977419"/>
    <s v="UVG_B_Kg"/>
  </r>
  <r>
    <x v="12"/>
    <n v="17"/>
    <n v="0"/>
    <n v="78"/>
    <n v="0"/>
    <n v="0"/>
    <m/>
    <n v="11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4778362426110076"/>
    <n v="9.5567248522201513"/>
    <n v="4417.552462617733"/>
    <n v="88351.049252354656"/>
    <n v="2.0762496574303344"/>
    <n v="41.524993148606683"/>
    <n v="4417.552462617733"/>
    <n v="88351.049252354656"/>
    <n v="2.0762496574303344"/>
    <n v="41.524993148606683"/>
    <s v="UVG_B_Kg"/>
  </r>
  <r>
    <x v="13"/>
    <n v="1"/>
    <n v="0"/>
    <n v="78"/>
    <n v="70"/>
    <n v="130"/>
    <n v="31.114476537208233"/>
    <n v="4.5"/>
    <s v="X"/>
    <s v="Y"/>
    <m/>
    <m/>
    <m/>
    <m/>
    <m/>
    <m/>
    <m/>
    <m/>
    <m/>
    <m/>
    <s v="GARMIN Navegador"/>
    <n v="0.05"/>
    <n v="2014"/>
    <s v="LATIFOLIADO"/>
    <s v="DEJAR"/>
    <s v="DEJAR"/>
    <x v="0"/>
    <s v="DEJAR"/>
    <n v="0.4778362426110076"/>
    <n v="9.5567248522201513"/>
    <n v="4417.552462617733"/>
    <n v="88351.049252354656"/>
    <n v="2.0762496574303344"/>
    <n v="41.524993148606683"/>
    <n v="4417.552462617733"/>
    <n v="88351.049252354656"/>
    <n v="2.0762496574303344"/>
    <n v="41.524993148606683"/>
    <s v="UVG_B_Kg"/>
  </r>
  <r>
    <x v="13"/>
    <n v="2"/>
    <n v="0"/>
    <n v="29"/>
    <n v="50"/>
    <n v="100"/>
    <n v="-89.590564540470012"/>
    <n v="4"/>
    <s v="88° 38' 42.3''"/>
    <s v="15° 41' 7.5''"/>
    <s v="88"/>
    <s v="38"/>
    <s v="42.3"/>
    <n v="-88.633529166666662"/>
    <s v="15"/>
    <s v="41"/>
    <s v=" 7.5"/>
    <n v="15.683368055555556"/>
    <n v="700078.53799900005"/>
    <n v="1735139.91946"/>
    <s v="GARMIN Navegador"/>
    <n v="0.05"/>
    <n v="2014"/>
    <s v="LATIFOLIADO"/>
    <s v="DEJAR"/>
    <s v="DEJAR"/>
    <x v="0"/>
    <s v="DEJAR"/>
    <n v="6.6051985541725394E-2"/>
    <n v="1.3210397108345078"/>
    <n v="417.82609631752575"/>
    <n v="8356.5219263505151"/>
    <n v="0.1963782652692371"/>
    <n v="3.9275653053847419"/>
    <n v="417.82609631752575"/>
    <n v="8356.5219263505151"/>
    <n v="0.1963782652692371"/>
    <n v="3.9275653053847419"/>
    <s v="UVG_B_Kg"/>
  </r>
  <r>
    <x v="13"/>
    <n v="3"/>
    <n v="0"/>
    <n v="60"/>
    <n v="75"/>
    <n v="84"/>
    <n v="264.92830523582927"/>
    <n v="7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28274333882308139"/>
    <n v="5.6548667764616276"/>
    <n v="2363.7230823297186"/>
    <n v="47274.461646594369"/>
    <n v="1.1109498486949678"/>
    <n v="22.218996973899351"/>
    <n v="2363.7230823297186"/>
    <n v="47274.461646594369"/>
    <n v="1.1109498486949678"/>
    <n v="22.218996973899351"/>
    <s v="UVG_B_Kg"/>
  </r>
  <r>
    <x v="13"/>
    <n v="4"/>
    <n v="0"/>
    <n v="33"/>
    <n v="95"/>
    <n v="110"/>
    <n v="-283.55059444431919"/>
    <n v="3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8.5529859993982132E-2"/>
    <n v="1.7105971998796425"/>
    <n v="568.52356444302654"/>
    <n v="11370.47128886053"/>
    <n v="0.26720607528822243"/>
    <n v="5.3441215057644493"/>
    <n v="568.52356444302654"/>
    <n v="11370.47128886053"/>
    <n v="0.26720607528822243"/>
    <n v="5.3441215057644493"/>
    <s v="UVG_B_Kg"/>
  </r>
  <r>
    <x v="13"/>
    <n v="5"/>
    <n v="0"/>
    <n v="75"/>
    <n v="90"/>
    <n v="140"/>
    <n v="3.2649104555238144E+17"/>
    <n v="3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44178646691106466"/>
    <n v="8.8357293382212934"/>
    <n v="4023.3015200759378"/>
    <n v="80466.030401518758"/>
    <n v="1.8909517144356907"/>
    <n v="37.819034288713809"/>
    <n v="4023.3015200759378"/>
    <n v="80466.030401518758"/>
    <n v="1.8909517144356907"/>
    <n v="37.819034288713809"/>
    <s v="UVG_B_Kg"/>
  </r>
  <r>
    <x v="13"/>
    <n v="6"/>
    <n v="0"/>
    <n v="25"/>
    <n v="70"/>
    <n v="45"/>
    <n v="74.949548389092428"/>
    <n v="1.7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4.9087385212340517E-2"/>
    <n v="0.98174770424681035"/>
    <n v="293.3319028192812"/>
    <n v="5866.6380563856237"/>
    <n v="0.13786599432506214"/>
    <n v="2.7573198865012429"/>
    <n v="293.3319028192812"/>
    <n v="5866.6380563856237"/>
    <n v="0.13786599432506214"/>
    <n v="2.7573198865012429"/>
    <s v="UVG_B_Kg"/>
  </r>
  <r>
    <x v="13"/>
    <n v="7"/>
    <n v="0"/>
    <n v="23.5"/>
    <n v="75"/>
    <n v="110"/>
    <n v="19.691467762285107"/>
    <n v="1.7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4.3373613573624077E-2"/>
    <n v="0.86747227147248152"/>
    <n v="253.10998017593391"/>
    <n v="5062.1996035186776"/>
    <n v="0.11896169068268893"/>
    <n v="2.3792338136537783"/>
    <n v="253.10998017593391"/>
    <n v="5062.1996035186776"/>
    <n v="0.11896169068268893"/>
    <n v="2.3792338136537783"/>
    <s v="UVG_B_Kg"/>
  </r>
  <r>
    <x v="13"/>
    <n v="8"/>
    <n v="0"/>
    <n v="13.5"/>
    <n v="60"/>
    <n v="45"/>
    <n v="54.641016151377528"/>
    <n v="1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4313881527918496E-2"/>
    <n v="0.28627763055836991"/>
    <n v="67.533172179763213"/>
    <n v="1350.6634435952642"/>
    <n v="3.1740590924488707E-2"/>
    <n v="0.63481181848977419"/>
    <n v="67.533172179763213"/>
    <n v="1350.6634435952642"/>
    <n v="3.1740590924488707E-2"/>
    <n v="0.63481181848977419"/>
    <s v="UVG_B_Kg"/>
  </r>
  <r>
    <x v="13"/>
    <n v="9"/>
    <n v="0"/>
    <n v="25"/>
    <n v="50"/>
    <n v="90"/>
    <n v="3.2649104555238144E+17"/>
    <n v="4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4.9087385212340517E-2"/>
    <n v="0.98174770424681035"/>
    <n v="293.3319028192812"/>
    <n v="5866.6380563856237"/>
    <n v="0.13786599432506214"/>
    <n v="2.7573198865012429"/>
    <n v="293.3319028192812"/>
    <n v="5866.6380563856237"/>
    <n v="0.13786599432506214"/>
    <n v="2.7573198865012429"/>
    <s v="UVG_B_Kg"/>
  </r>
  <r>
    <x v="14"/>
    <n v="1"/>
    <s v="Amapola"/>
    <n v="55"/>
    <n v="90"/>
    <n v="110"/>
    <n v="3.2649104555238138E+17"/>
    <n v="4"/>
    <s v="X"/>
    <s v="Y"/>
    <m/>
    <m/>
    <m/>
    <m/>
    <m/>
    <m/>
    <m/>
    <m/>
    <m/>
    <m/>
    <s v="GARMIN Navegador"/>
    <n v="0.05"/>
    <n v="2014"/>
    <s v="LATIFOLIADO"/>
    <s v="DEJAR"/>
    <s v="DEJAR"/>
    <x v="0"/>
    <s v="DEJAR"/>
    <n v="0.23758294442772815"/>
    <n v="4.7516588885545623"/>
    <n v="1920.9991975467647"/>
    <n v="38419.98395093529"/>
    <n v="0.90286962284697936"/>
    <n v="18.057392456939585"/>
    <n v="1920.9991975467647"/>
    <n v="38419.98395093529"/>
    <n v="0.90286962284697936"/>
    <n v="18.057392456939585"/>
    <s v="UVG_B_Kg"/>
  </r>
  <r>
    <x v="14"/>
    <n v="2"/>
    <s v="Zapote"/>
    <n v="35"/>
    <n v="90"/>
    <n v="70"/>
    <n v="3.264910455523815E+17"/>
    <n v="2"/>
    <s v="88° 38' 41''"/>
    <s v="15° 41' 0.8''"/>
    <s v="88"/>
    <s v=" 38"/>
    <s v=" 41"/>
    <n v="-88.633523148148143"/>
    <s v="15"/>
    <s v="41"/>
    <s v=" 0.8"/>
    <n v="15.683337037037036"/>
    <n v="700079.21360200003"/>
    <n v="1735136.4918899999"/>
    <s v="GARMIN Navegador"/>
    <n v="0.05"/>
    <n v="2014"/>
    <s v="LATIFOLIADO"/>
    <s v="DEJAR"/>
    <s v="DEJAR"/>
    <x v="0"/>
    <s v="DEJAR"/>
    <n v="9.6211275016187398E-2"/>
    <n v="1.9242255003237478"/>
    <n v="654.11925553640299"/>
    <n v="13082.385110728059"/>
    <n v="0.30743605010210939"/>
    <n v="6.148721002042187"/>
    <n v="654.11925553640299"/>
    <n v="13082.385110728059"/>
    <n v="0.30743605010210939"/>
    <n v="6.148721002042187"/>
    <s v="UVG_B_Kg"/>
  </r>
  <r>
    <x v="14"/>
    <n v="3"/>
    <s v="Guarumo"/>
    <n v="30"/>
    <n v="90"/>
    <n v="30"/>
    <n v="3.2649104555238144E+17"/>
    <n v="1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7.0685834705770348E-2"/>
    <n v="1.4137166941154069"/>
    <n v="452.98997539791907"/>
    <n v="9059.7995079583816"/>
    <n v="0.21290528843702194"/>
    <n v="4.2581057687404389"/>
    <n v="452.98997539791907"/>
    <n v="9059.7995079583816"/>
    <n v="0.21290528843702194"/>
    <n v="4.2581057687404389"/>
    <s v="UVG_B_Kg"/>
  </r>
  <r>
    <x v="14"/>
    <n v="4"/>
    <n v="0"/>
    <n v="12"/>
    <n v="10"/>
    <n v="20"/>
    <n v="10.805944299493346"/>
    <n v="1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1309733552923255E-2"/>
    <n v="0.22619467105846508"/>
    <n v="51.002868362482175"/>
    <n v="1020.0573672496434"/>
    <n v="2.397134813036662E-2"/>
    <n v="0.47942696260733236"/>
    <n v="51.002868362482175"/>
    <n v="1020.0573672496434"/>
    <n v="2.397134813036662E-2"/>
    <n v="0.47942696260733236"/>
    <s v="UVG_B_Kg"/>
  </r>
  <r>
    <x v="14"/>
    <n v="5"/>
    <n v="0"/>
    <n v="45"/>
    <n v="110"/>
    <n v="60"/>
    <n v="-20.308532237714914"/>
    <n v="3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5904312808798329"/>
    <n v="3.1808625617596658"/>
    <n v="1190.7041522680991"/>
    <n v="23814.083045361978"/>
    <n v="0.55963095156600651"/>
    <n v="11.192619031320129"/>
    <n v="1190.7041522680991"/>
    <n v="23814.083045361978"/>
    <n v="0.55963095156600651"/>
    <n v="11.192619031320129"/>
    <s v="UVG_B_Kg"/>
  </r>
  <r>
    <x v="15"/>
    <n v="1"/>
    <n v="0"/>
    <n v="45"/>
    <n v="80"/>
    <n v="120"/>
    <n v="78.784620240976579"/>
    <n v="3"/>
    <s v="X"/>
    <s v="Y"/>
    <m/>
    <m/>
    <m/>
    <m/>
    <m/>
    <m/>
    <m/>
    <m/>
    <m/>
    <m/>
    <s v="GARMIN Navegador"/>
    <n v="0.05"/>
    <n v="2014"/>
    <s v="LATIFOLIADO"/>
    <s v="DEJAR"/>
    <s v="DEJAR"/>
    <x v="0"/>
    <s v="DEJAR"/>
    <n v="0.15904312808798329"/>
    <n v="3.1808625617596658"/>
    <n v="1190.7041522680991"/>
    <n v="23814.083045361978"/>
    <n v="0.55963095156600651"/>
    <n v="11.192619031320129"/>
    <n v="1190.7041522680991"/>
    <n v="23814.083045361978"/>
    <n v="0.55963095156600651"/>
    <n v="11.192619031320129"/>
    <s v="UVG_B_Kg"/>
  </r>
  <r>
    <x v="15"/>
    <n v="2"/>
    <n v="0"/>
    <n v="30"/>
    <n v="90"/>
    <n v="70"/>
    <n v="3.264910455523815E+17"/>
    <n v="3"/>
    <s v="88° 38' 43''"/>
    <s v="15° 41' 6.5''"/>
    <s v="88"/>
    <s v=" 38"/>
    <s v=" 43"/>
    <n v="-88.633532407407401"/>
    <s v="15"/>
    <s v="41"/>
    <s v=" 6.5"/>
    <n v="15.683363425925926"/>
    <n v="700078.19501200004"/>
    <n v="1735139.4039700001"/>
    <s v="GARMIN Navegador"/>
    <n v="0.05"/>
    <n v="2014"/>
    <s v="LATIFOLIADO"/>
    <s v="DEJAR"/>
    <s v="DEJAR"/>
    <x v="0"/>
    <s v="DEJAR"/>
    <n v="7.0685834705770348E-2"/>
    <n v="1.4137166941154069"/>
    <n v="452.98997539791907"/>
    <n v="9059.7995079583816"/>
    <n v="0.21290528843702194"/>
    <n v="4.2581057687404389"/>
    <n v="452.98997539791907"/>
    <n v="9059.7995079583816"/>
    <n v="0.21290528843702194"/>
    <n v="4.2581057687404389"/>
    <s v="UVG_B_Kg"/>
  </r>
  <r>
    <x v="15"/>
    <n v="3"/>
    <n v="0"/>
    <n v="28"/>
    <n v="70"/>
    <n v="90"/>
    <n v="3.264910455523815E+17"/>
    <n v="3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6.1575216010359951E-2"/>
    <n v="1.2315043202071989"/>
    <n v="384.30049927715726"/>
    <n v="7686.0099855431445"/>
    <n v="0.18062123466026389"/>
    <n v="3.6124246932052775"/>
    <n v="384.30049927715726"/>
    <n v="7686.0099855431445"/>
    <n v="0.18062123466026389"/>
    <n v="3.6124246932052775"/>
    <s v="UVG_B_Kg"/>
  </r>
  <r>
    <x v="15"/>
    <n v="4"/>
    <n v="0"/>
    <n v="45"/>
    <n v="62"/>
    <n v="65"/>
    <n v="80.504667717117798"/>
    <n v="6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5904312808798329"/>
    <n v="3.1808625617596658"/>
    <n v="1190.7041522680991"/>
    <n v="23814.083045361978"/>
    <n v="0.55963095156600651"/>
    <n v="11.192619031320129"/>
    <n v="1190.7041522680991"/>
    <n v="23814.083045361978"/>
    <n v="0.55963095156600651"/>
    <n v="11.192619031320129"/>
    <s v="UVG_B_Kg"/>
  </r>
  <r>
    <x v="15"/>
    <n v="5"/>
    <n v="0"/>
    <n v="43"/>
    <n v="110"/>
    <n v="90"/>
    <n v="3.2649104555238138E+17"/>
    <n v="3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4522012041218818"/>
    <n v="2.9044024082437634"/>
    <n v="1068.4241794788302"/>
    <n v="21368.483589576601"/>
    <n v="0.50215936435505015"/>
    <n v="10.043187287101002"/>
    <n v="1068.4241794788302"/>
    <n v="21368.483589576601"/>
    <n v="0.50215936435505015"/>
    <n v="10.043187287101002"/>
    <s v="UVG_B_Kg"/>
  </r>
  <r>
    <x v="15"/>
    <n v="6"/>
    <n v="0"/>
    <n v="43"/>
    <n v="75"/>
    <n v="120"/>
    <n v="39.999999999999993"/>
    <n v="4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4522012041218818"/>
    <n v="2.9044024082437634"/>
    <n v="1068.4241794788302"/>
    <n v="21368.483589576601"/>
    <n v="0.50215936435505015"/>
    <n v="10.043187287101002"/>
    <n v="1068.4241794788302"/>
    <n v="21368.483589576601"/>
    <n v="0.50215936435505015"/>
    <n v="10.043187287101002"/>
    <s v="UVG_B_Kg"/>
  </r>
  <r>
    <x v="16"/>
    <n v="1"/>
    <n v="0"/>
    <n v="29"/>
    <n v="100"/>
    <n v="40"/>
    <n v="-96.64364376880863"/>
    <n v="2"/>
    <s v="X"/>
    <s v="Y"/>
    <m/>
    <m/>
    <m/>
    <m/>
    <m/>
    <m/>
    <m/>
    <m/>
    <m/>
    <m/>
    <s v="GARMIN Navegador"/>
    <n v="0.05"/>
    <n v="2014"/>
    <s v="LATIFOLIADO"/>
    <s v="DEJAR"/>
    <s v="DEJAR"/>
    <x v="0"/>
    <s v="DEJAR"/>
    <n v="6.6051985541725394E-2"/>
    <n v="1.3210397108345078"/>
    <n v="417.82609631752575"/>
    <n v="8356.5219263505151"/>
    <n v="0.1963782652692371"/>
    <n v="3.9275653053847419"/>
    <n v="417.82609631752575"/>
    <n v="8356.5219263505151"/>
    <n v="0.1963782652692371"/>
    <n v="3.9275653053847419"/>
    <s v="UVG_B_Kg"/>
  </r>
  <r>
    <x v="16"/>
    <n v="2"/>
    <n v="0"/>
    <n v="50"/>
    <n v="110"/>
    <n v="60"/>
    <n v="-20.308532237714914"/>
    <n v="6"/>
    <s v="88° 38' 44.3''"/>
    <s v="15° 41' 4.7''"/>
    <s v="88"/>
    <s v="38"/>
    <s v="44.3"/>
    <n v="-88.63353842592592"/>
    <s v="15"/>
    <s v="41"/>
    <s v=" 4.7"/>
    <n v="15.683355092592592"/>
    <n v="700077.55777900002"/>
    <n v="1735138.4759200001"/>
    <s v="GARMIN Navegador"/>
    <n v="0.05"/>
    <n v="2014"/>
    <s v="LATIFOLIADO"/>
    <s v="DEJAR"/>
    <s v="DEJAR"/>
    <x v="0"/>
    <s v="DEJAR"/>
    <n v="0.19634954084936207"/>
    <n v="3.9269908169872414"/>
    <n v="1530.6197203780737"/>
    <n v="30612.394407561471"/>
    <n v="0.71939126857769453"/>
    <n v="14.387825371553891"/>
    <n v="1530.6197203780737"/>
    <n v="30612.394407561471"/>
    <n v="0.71939126857769453"/>
    <n v="14.387825371553891"/>
    <s v="UVG_B_Kg"/>
  </r>
  <r>
    <x v="16"/>
    <n v="3"/>
    <n v="0"/>
    <n v="18"/>
    <n v="90"/>
    <n v="20"/>
    <n v="3.2649104555238144E+17"/>
    <n v="1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2.5446900494077322E-2"/>
    <n v="0.50893800988154636"/>
    <n v="134.06329154071116"/>
    <n v="2681.2658308142231"/>
    <n v="6.3009747024134241E-2"/>
    <n v="1.2601949404826847"/>
    <n v="134.06329154071116"/>
    <n v="2681.2658308142231"/>
    <n v="6.3009747024134241E-2"/>
    <n v="1.2601949404826847"/>
    <s v="UVG_B_Kg"/>
  </r>
  <r>
    <x v="16"/>
    <n v="4"/>
    <n v="0"/>
    <n v="65"/>
    <n v="70"/>
    <n v="100"/>
    <n v="-58.476088003261786"/>
    <n v="6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33183072403542191"/>
    <n v="6.6366144807084382"/>
    <n v="2860.5689751200016"/>
    <n v="57211.379502400028"/>
    <n v="1.3444674183064005"/>
    <n v="26.889348366128011"/>
    <n v="2860.5689751200016"/>
    <n v="57211.379502400028"/>
    <n v="1.3444674183064005"/>
    <n v="26.889348366128011"/>
    <s v="UVG_B_Kg"/>
  </r>
  <r>
    <x v="16"/>
    <n v="5"/>
    <n v="0"/>
    <n v="18"/>
    <n v="75"/>
    <n v="100"/>
    <n v="-38.784620240976665"/>
    <n v="3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2.5446900494077322E-2"/>
    <n v="0.50893800988154636"/>
    <n v="134.06329154071116"/>
    <n v="2681.2658308142231"/>
    <n v="6.3009747024134241E-2"/>
    <n v="1.2601949404826847"/>
    <n v="134.06329154071116"/>
    <n v="2681.2658308142231"/>
    <n v="6.3009747024134241E-2"/>
    <n v="1.2601949404826847"/>
    <s v="UVG_B_Kg"/>
  </r>
  <r>
    <x v="16"/>
    <n v="6"/>
    <n v="0"/>
    <n v="38.5"/>
    <n v="70"/>
    <n v="50"/>
    <n v="78.784620240976636"/>
    <n v="2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1641564276958677"/>
    <n v="2.3283128553917352"/>
    <n v="820.9501996191043"/>
    <n v="16419.003992382084"/>
    <n v="0.38584659382097902"/>
    <n v="7.7169318764195793"/>
    <n v="820.9501996191043"/>
    <n v="16419.003992382084"/>
    <n v="0.38584659382097902"/>
    <n v="7.7169318764195793"/>
    <s v="UVG_B_Kg"/>
  </r>
  <r>
    <x v="16"/>
    <n v="7"/>
    <n v="0"/>
    <n v="22.5"/>
    <n v="80"/>
    <n v="50"/>
    <n v="137.26070824423834"/>
    <n v="1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3.9760782021995823E-2"/>
    <n v="0.79521564043991644"/>
    <n v="228.1896084504572"/>
    <n v="4563.7921690091434"/>
    <n v="0.10724911597171487"/>
    <n v="2.1449823194342974"/>
    <n v="228.1896084504572"/>
    <n v="4563.7921690091434"/>
    <n v="0.10724911597171487"/>
    <n v="2.1449823194342974"/>
    <s v="UVG_B_Kg"/>
  </r>
  <r>
    <x v="17"/>
    <n v="1"/>
    <s v="Guarumo"/>
    <n v="15"/>
    <n v="65"/>
    <n v="40"/>
    <n v="59.672131033736768"/>
    <n v="1.5"/>
    <s v="X"/>
    <s v="Y"/>
    <m/>
    <m/>
    <m/>
    <m/>
    <m/>
    <m/>
    <m/>
    <m/>
    <m/>
    <m/>
    <s v="GARMIN Navegador"/>
    <n v="0.05"/>
    <n v="2014"/>
    <s v="LATIFOLIADO"/>
    <s v="DEJAR"/>
    <s v="DEJAR"/>
    <x v="0"/>
    <s v="DEJAR"/>
    <n v="1.7671458676442587E-2"/>
    <n v="0.35342917352885173"/>
    <n v="86.812164819560579"/>
    <n v="1736.2432963912115"/>
    <n v="4.0801717465193475E-2"/>
    <n v="0.81603434930386942"/>
    <n v="86.812164819560579"/>
    <n v="1736.2432963912115"/>
    <n v="4.0801717465193475E-2"/>
    <n v="0.81603434930386942"/>
    <s v="UVG_B_Kg"/>
  </r>
  <r>
    <x v="17"/>
    <n v="2"/>
    <s v="Malaguate"/>
    <n v="18"/>
    <n v="70"/>
    <n v="45"/>
    <n v="74.949548389092428"/>
    <n v="2.5"/>
    <s v="88° 38' 49.9''"/>
    <s v="15° 41' 1.5''"/>
    <s v="88"/>
    <s v="38"/>
    <s v="49.9"/>
    <n v="-88.633564351851845"/>
    <s v="15"/>
    <s v="41"/>
    <s v=" 1.5"/>
    <n v="15.683340277777777"/>
    <n v="700074.79221800005"/>
    <n v="1735136.81167"/>
    <s v="GARMIN Navegador"/>
    <n v="0.05"/>
    <n v="2014"/>
    <s v="LATIFOLIADO"/>
    <s v="DEJAR"/>
    <s v="DEJAR"/>
    <x v="0"/>
    <s v="DEJAR"/>
    <n v="2.5446900494077322E-2"/>
    <n v="0.50893800988154636"/>
    <n v="134.06329154071116"/>
    <n v="2681.2658308142231"/>
    <n v="6.3009747024134241E-2"/>
    <n v="1.2601949404826847"/>
    <n v="134.06329154071116"/>
    <n v="2681.2658308142231"/>
    <n v="6.3009747024134241E-2"/>
    <n v="1.2601949404826847"/>
    <s v="UVG_B_Kg"/>
  </r>
  <r>
    <x v="17"/>
    <n v="3"/>
    <s v="Santa  maria "/>
    <n v="22.5"/>
    <n v="60"/>
    <n v="50"/>
    <n v="58.476088003261737"/>
    <n v="2.6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3.9760782021995823E-2"/>
    <n v="0.79521564043991644"/>
    <n v="228.1896084504572"/>
    <n v="4563.7921690091434"/>
    <n v="0.10724911597171487"/>
    <n v="2.1449823194342974"/>
    <n v="228.1896084504572"/>
    <n v="4563.7921690091434"/>
    <n v="0.10724911597171487"/>
    <n v="2.1449823194342974"/>
    <s v="UVG_B_Kg"/>
  </r>
  <r>
    <x v="17"/>
    <n v="4"/>
    <n v="0"/>
    <n v="12"/>
    <n v="60"/>
    <n v="55"/>
    <n v="63.203976286219827"/>
    <n v="1.7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1309733552923255E-2"/>
    <n v="0.22619467105846508"/>
    <n v="51.002868362482175"/>
    <n v="1020.0573672496434"/>
    <n v="2.397134813036662E-2"/>
    <n v="0.47942696260733236"/>
    <n v="51.002868362482175"/>
    <n v="1020.0573672496434"/>
    <n v="2.397134813036662E-2"/>
    <n v="0.47942696260733236"/>
    <s v="UVG_B_Kg"/>
  </r>
  <r>
    <x v="17"/>
    <n v="5"/>
    <n v="0"/>
    <n v="22.5"/>
    <n v="55"/>
    <n v="50"/>
    <n v="52.398031986726494"/>
    <n v="4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3.9760782021995823E-2"/>
    <n v="0.79521564043991644"/>
    <n v="228.1896084504572"/>
    <n v="4563.7921690091434"/>
    <n v="0.10724911597171487"/>
    <n v="2.1449823194342974"/>
    <n v="228.1896084504572"/>
    <n v="4563.7921690091434"/>
    <n v="0.10724911597171487"/>
    <n v="2.1449823194342974"/>
    <s v="UVG_B_Kg"/>
  </r>
  <r>
    <x v="17"/>
    <n v="6"/>
    <n v="0"/>
    <n v="37"/>
    <n v="45"/>
    <n v="90"/>
    <n v="3.2649104555238144E+17"/>
    <n v="7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0752100856911066"/>
    <n v="2.1504201713822133"/>
    <n v="746.75785703016243"/>
    <n v="14935.157140603247"/>
    <n v="0.3509761928041763"/>
    <n v="7.0195238560835254"/>
    <n v="746.75785703016243"/>
    <n v="14935.157140603247"/>
    <n v="0.3509761928041763"/>
    <n v="7.0195238560835254"/>
    <s v="UVG_B_Kg"/>
  </r>
  <r>
    <x v="18"/>
    <n v="1"/>
    <s v="Santa maria"/>
    <n v="52"/>
    <n v="35"/>
    <n v="140"/>
    <n v="-2.7778418593514154"/>
    <n v="9"/>
    <s v="X"/>
    <s v="Y"/>
    <m/>
    <m/>
    <m/>
    <m/>
    <m/>
    <m/>
    <m/>
    <m/>
    <m/>
    <m/>
    <s v="GARMIN Navegador"/>
    <n v="0.05"/>
    <n v="2014"/>
    <s v="LATIFOLIADO"/>
    <s v="DEJAR"/>
    <s v="DEJAR"/>
    <x v="0"/>
    <s v="DEJAR"/>
    <n v="0.21237166338267005"/>
    <n v="4.2474332676534008"/>
    <n v="1680.6080482279649"/>
    <n v="33612.160964559298"/>
    <n v="0.78988578266714338"/>
    <n v="15.79771565334287"/>
    <n v="1680.6080482279649"/>
    <n v="33612.160964559298"/>
    <n v="0.78988578266714338"/>
    <n v="15.79771565334287"/>
    <s v="UVG_B_Kg"/>
  </r>
  <r>
    <x v="18"/>
    <n v="2"/>
    <s v="Guarumo"/>
    <n v="22.5"/>
    <n v="30"/>
    <n v="80"/>
    <n v="124.97264177614665"/>
    <n v="4"/>
    <s v="88° 38' 49.3''"/>
    <s v="15° 41' 0.2''"/>
    <s v="88"/>
    <s v="38"/>
    <s v="49.3"/>
    <n v="-88.633561574074079"/>
    <s v="15"/>
    <s v="41"/>
    <s v=" 0.2"/>
    <n v="15.68333425925926"/>
    <n v="700075.09594399994"/>
    <n v="1735136.1481399999"/>
    <s v="GARMIN Navegador"/>
    <n v="0.05"/>
    <n v="2014"/>
    <s v="LATIFOLIADO"/>
    <s v="DEJAR"/>
    <s v="DEJAR"/>
    <x v="0"/>
    <s v="DEJAR"/>
    <n v="3.9760782021995823E-2"/>
    <n v="0.79521564043991644"/>
    <n v="228.1896084504572"/>
    <n v="4563.7921690091434"/>
    <n v="0.10724911597171487"/>
    <n v="2.1449823194342974"/>
    <n v="228.1896084504572"/>
    <n v="4563.7921690091434"/>
    <n v="0.10724911597171487"/>
    <n v="2.1449823194342974"/>
    <s v="UVG_B_Kg"/>
  </r>
  <r>
    <x v="18"/>
    <n v="3"/>
    <s v="Guarumo"/>
    <n v="23"/>
    <n v="25"/>
    <n v="80"/>
    <n v="122.75178955545411"/>
    <n v="3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4.1547562843725017E-2"/>
    <n v="0.83095125687450033"/>
    <n v="240.46242571758225"/>
    <n v="4809.2485143516451"/>
    <n v="0.11301734008726365"/>
    <n v="2.260346801745273"/>
    <n v="240.46242571758225"/>
    <n v="4809.2485143516451"/>
    <n v="0.11301734008726365"/>
    <n v="2.260346801745273"/>
    <s v="UVG_B_Kg"/>
  </r>
  <r>
    <x v="18"/>
    <n v="4"/>
    <n v="0"/>
    <n v="17.5"/>
    <n v="35"/>
    <n v="70"/>
    <n v="68.953699153286635"/>
    <n v="3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2.4052818754046849E-2"/>
    <n v="0.48105637508093696"/>
    <n v="125.35709774458586"/>
    <n v="2507.141954891717"/>
    <n v="5.8917835939955351E-2"/>
    <n v="1.1783567187991069"/>
    <n v="125.35709774458586"/>
    <n v="2507.141954891717"/>
    <n v="5.8917835939955351E-2"/>
    <n v="1.1783567187991069"/>
    <s v="UVG_B_Kg"/>
  </r>
  <r>
    <x v="18"/>
    <n v="5"/>
    <n v="0"/>
    <n v="70"/>
    <n v="35"/>
    <n v="140"/>
    <n v="-2.7778418593514154"/>
    <n v="7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38484510006474959"/>
    <n v="7.6969020012949914"/>
    <n v="3413.2251636463757"/>
    <n v="68264.503272927512"/>
    <n v="1.6042158269137965"/>
    <n v="32.084316538275928"/>
    <n v="3413.2251636463757"/>
    <n v="68264.503272927512"/>
    <n v="1.6042158269137965"/>
    <n v="32.084316538275928"/>
    <s v="UVG_B_Kg"/>
  </r>
  <r>
    <x v="18"/>
    <n v="6"/>
    <n v="0"/>
    <n v="80"/>
    <n v="25"/>
    <n v="130"/>
    <n v="-14.508918688784229"/>
    <n v="7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50265482457436694"/>
    <n v="10.053096491487338"/>
    <n v="4692.3383942985474"/>
    <n v="93846.767885970941"/>
    <n v="2.2053990453203172"/>
    <n v="44.10798090640634"/>
    <n v="4678.370186681871"/>
    <n v="93567.403733637417"/>
    <n v="2.1988339877404792"/>
    <n v="43.976679754809588"/>
    <s v="UVG_B_Kg"/>
  </r>
  <r>
    <x v="18"/>
    <n v="7"/>
    <n v="0"/>
    <n v="17.3"/>
    <n v="25"/>
    <n v="40"/>
    <n v="26.108145786645572"/>
    <n v="2.2999999999999998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2.3506181632322234E-2"/>
    <n v="0.47012363264644463"/>
    <n v="121.96931273174864"/>
    <n v="2439.3862546349728"/>
    <n v="5.7325576983921857E-2"/>
    <n v="1.1465115396784371"/>
    <n v="121.96931273174864"/>
    <n v="2439.3862546349728"/>
    <n v="5.7325576983921857E-2"/>
    <n v="1.1465115396784371"/>
    <s v="UVG_B_Kg"/>
  </r>
  <r>
    <x v="18"/>
    <n v="8"/>
    <n v="0"/>
    <n v="90"/>
    <n v="25"/>
    <n v="140"/>
    <n v="-7.4558394604456364"/>
    <n v="8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63617251235193317"/>
    <n v="12.723450247038663"/>
    <n v="6213.1504929432931"/>
    <n v="124263.00985886586"/>
    <n v="2.9201807316833475"/>
    <n v="58.403614633666947"/>
    <n v="4678.370186681871"/>
    <n v="93567.403733637417"/>
    <n v="2.1988339877404792"/>
    <n v="43.976679754809588"/>
    <s v="UVG_B_Kg"/>
  </r>
  <r>
    <x v="19"/>
    <n v="1"/>
    <n v="0"/>
    <n v="90"/>
    <n v="100"/>
    <n v="140"/>
    <n v="-130.20762901589984"/>
    <n v="6"/>
    <s v="X"/>
    <s v="Y"/>
    <m/>
    <m/>
    <m/>
    <m/>
    <m/>
    <m/>
    <m/>
    <m/>
    <m/>
    <m/>
    <s v="GARMIN Navegador"/>
    <n v="0.05"/>
    <n v="2014"/>
    <s v="LATIFOLIADO"/>
    <s v="DEJAR"/>
    <s v="DEJAR"/>
    <x v="0"/>
    <s v="DEJAR"/>
    <n v="0.63617251235193317"/>
    <n v="12.723450247038663"/>
    <n v="6213.1504929432931"/>
    <n v="124263.00985886586"/>
    <n v="2.9201807316833475"/>
    <n v="58.403614633666947"/>
    <n v="4678.370186681871"/>
    <n v="93567.403733637417"/>
    <n v="2.1988339877404792"/>
    <n v="43.976679754809588"/>
    <s v="UVG_B_Kg"/>
  </r>
  <r>
    <x v="19"/>
    <n v="2"/>
    <n v="0"/>
    <n v="43.5"/>
    <n v="90"/>
    <n v="60"/>
    <n v="3.264910455523815E+17"/>
    <n v="3.5"/>
    <s v="88° 38' 46.3''"/>
    <s v="15° 41' 2''"/>
    <s v="88"/>
    <s v="38"/>
    <s v="46.3"/>
    <n v="-88.633547685185192"/>
    <s v="15"/>
    <s v="41"/>
    <s v="2"/>
    <n v="15.683342592592593"/>
    <n v="700076.57710800006"/>
    <n v="1735137.08363"/>
    <s v="GARMIN Navegador"/>
    <n v="0.05"/>
    <n v="2014"/>
    <s v="LATIFOLIADO"/>
    <s v="DEJAR"/>
    <s v="DEJAR"/>
    <x v="0"/>
    <s v="DEJAR"/>
    <n v="0.14861696746888214"/>
    <n v="2.9723393493776427"/>
    <n v="1098.2743434316055"/>
    <n v="21965.48686863211"/>
    <n v="0.51618894141285454"/>
    <n v="10.32377882825709"/>
    <n v="1098.2743434316055"/>
    <n v="21965.48686863211"/>
    <n v="0.51618894141285454"/>
    <n v="10.32377882825709"/>
    <s v="UVG_B_Kg"/>
  </r>
  <r>
    <x v="19"/>
    <n v="3"/>
    <n v="0"/>
    <n v="38"/>
    <n v="90"/>
    <n v="50"/>
    <n v="3.2649104555238144E+17"/>
    <n v="3.5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0.11341149479459153"/>
    <n v="2.2682298958918303"/>
    <n v="795.76587227964853"/>
    <n v="15915.317445592969"/>
    <n v="0.37400995997143482"/>
    <n v="7.4801991994286947"/>
    <n v="795.76587227964853"/>
    <n v="15915.317445592969"/>
    <n v="0.37400995997143482"/>
    <n v="7.4801991994286947"/>
    <s v="UVG_B_Kg"/>
  </r>
  <r>
    <x v="19"/>
    <n v="4"/>
    <n v="0"/>
    <n v="13.5"/>
    <n v="80"/>
    <n v="20"/>
    <n v="120.70504107767819"/>
    <n v="2"/>
    <n v="0"/>
    <n v="0"/>
    <m/>
    <m/>
    <m/>
    <m/>
    <m/>
    <m/>
    <m/>
    <m/>
    <m/>
    <m/>
    <s v="GARMIN Navegador"/>
    <n v="0.05"/>
    <n v="2014"/>
    <s v="LATIFOLIADO"/>
    <s v="DEJAR"/>
    <s v="DEJAR"/>
    <x v="0"/>
    <s v="DEJAR"/>
    <n v="1.4313881527918496E-2"/>
    <n v="0.28627763055836991"/>
    <n v="67.533172179763213"/>
    <n v="1350.6634435952642"/>
    <n v="3.1740590924488707E-2"/>
    <n v="0.63481181848977419"/>
    <n v="67.533172179763213"/>
    <n v="1350.6634435952642"/>
    <n v="3.1740590924488707E-2"/>
    <n v="0.63481181848977419"/>
    <s v="UVG_B_K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6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ARCELA">
  <location ref="A3:O24" firstHeaderRow="0" firstDataRow="1" firstDataCol="1" rowPageCount="1" colPageCount="1"/>
  <pivotFields count="39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numFmtId="2" showAll="0"/>
    <pivotField numFmtId="1" showAll="0"/>
    <pivotField numFmtId="1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 defaultSubtota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showAll="0"/>
    <pivotField dataField="1" numFmtId="164" showAll="0"/>
    <pivotField dataField="1" numFmtId="164" showAll="0"/>
    <pivotField dataField="1" numFmtId="164"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26" hier="-1"/>
  </pageFields>
  <dataFields count="14">
    <dataField name="FECHA_MEDICION" fld="22" subtotal="average" baseField="0" baseItem="0"/>
    <dataField name="X_GTM" fld="18" subtotal="average" baseField="0" baseItem="11"/>
    <dataField name="Y_GTM" fld="19" subtotal="average" baseField="0" baseItem="11"/>
    <dataField name="AREA_PARCELA_HA" fld="21" subtotal="average" baseField="0" baseItem="2"/>
    <dataField name="Suma de AB" fld="28" baseField="0" baseItem="0"/>
    <dataField name="Suma de AB_ha" fld="29" baseField="0" baseItem="0"/>
    <dataField name="Suma de B_kg" fld="30" baseField="0" baseItem="0"/>
    <dataField name="Suma de BKg/ha" fld="31" baseField="0" baseItem="0"/>
    <dataField name="Suma de tC" fld="32" baseField="0" baseItem="0"/>
    <dataField name="Suma de tC/ha" fld="33" baseField="0" baseItem="0"/>
    <dataField name="Suma de B_kg_E" fld="34" baseField="0" baseItem="0"/>
    <dataField name="Suma de B_Kg/haE" fld="35" baseField="0" baseItem="0"/>
    <dataField name="Suma de tCE" fld="36" baseField="0" baseItem="0"/>
    <dataField name="Suma de tC/haE" fld="3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6"/>
  <sheetViews>
    <sheetView topLeftCell="A22" workbookViewId="0">
      <selection activeCell="D50" sqref="D50"/>
    </sheetView>
  </sheetViews>
  <sheetFormatPr baseColWidth="10" defaultRowHeight="15" x14ac:dyDescent="0.25"/>
  <cols>
    <col min="2" max="2" width="36.85546875" bestFit="1" customWidth="1"/>
    <col min="3" max="3" width="79.85546875" bestFit="1" customWidth="1"/>
    <col min="4" max="4" width="23.28515625" bestFit="1" customWidth="1"/>
  </cols>
  <sheetData>
    <row r="3" spans="2:3" x14ac:dyDescent="0.25">
      <c r="B3" t="s">
        <v>144</v>
      </c>
      <c r="C3" t="str">
        <f ca="1">+SUBSTITUTE(C4,C5,"")</f>
        <v>C:\CARBONO_REDD+GT\CONAP_INAB\</v>
      </c>
    </row>
    <row r="4" spans="2:3" x14ac:dyDescent="0.25">
      <c r="B4" t="s">
        <v>145</v>
      </c>
      <c r="C4" t="str">
        <f ca="1">+CELL("nombrearchivo")</f>
        <v>C:\CARBONO_REDD+GT\CONAP_INAB\[Parcels_San Gil_Individual2016.0120.xlsx]4FINAL</v>
      </c>
    </row>
    <row r="5" spans="2:3" x14ac:dyDescent="0.25">
      <c r="B5" t="s">
        <v>146</v>
      </c>
      <c r="C5" s="62" t="str">
        <f ca="1">MID(C4,FIND("[",C4,1),FIND("]",C4,1))</f>
        <v>[Parcels_San Gil_Individual2016.0120.xlsx]4FINAL</v>
      </c>
    </row>
    <row r="6" spans="2:3" x14ac:dyDescent="0.25">
      <c r="B6" t="s">
        <v>147</v>
      </c>
      <c r="C6" s="63" t="str">
        <f ca="1">+MID(MID(C4,FIND("[",C4,1),FIND("]",C4,1)),2,((FIND("]",C4,1))-(FIND("[",C4,1)))-1)</f>
        <v>Parcels_San Gil_Individual2016.0120.xlsx</v>
      </c>
    </row>
    <row r="7" spans="2:3" x14ac:dyDescent="0.25">
      <c r="B7" t="s">
        <v>148</v>
      </c>
      <c r="C7" s="62" t="str">
        <f ca="1">MID(C4,(FIND("]",C4,1))+1,(LEN(C4))-((FIND("]",C4,1))-(FIND("[",C4,1))))</f>
        <v>4FINAL</v>
      </c>
    </row>
    <row r="17" spans="2:4" ht="15.75" x14ac:dyDescent="0.25">
      <c r="B17" s="34" t="s">
        <v>97</v>
      </c>
      <c r="C17" s="34" t="s">
        <v>98</v>
      </c>
      <c r="D17" s="34" t="s">
        <v>99</v>
      </c>
    </row>
    <row r="18" spans="2:4" x14ac:dyDescent="0.25">
      <c r="B18" s="35"/>
      <c r="C18" s="35"/>
      <c r="D18" s="35"/>
    </row>
    <row r="19" spans="2:4" x14ac:dyDescent="0.25">
      <c r="B19" s="35" t="s">
        <v>128</v>
      </c>
      <c r="C19" s="35" t="s">
        <v>102</v>
      </c>
      <c r="D19" s="35">
        <v>233</v>
      </c>
    </row>
    <row r="20" spans="2:4" x14ac:dyDescent="0.25">
      <c r="B20" s="35"/>
      <c r="C20" s="35"/>
      <c r="D20" s="35"/>
    </row>
    <row r="21" spans="2:4" x14ac:dyDescent="0.25">
      <c r="B21" s="35" t="s">
        <v>129</v>
      </c>
      <c r="C21" s="35" t="s">
        <v>101</v>
      </c>
      <c r="D21" s="35">
        <v>232</v>
      </c>
    </row>
    <row r="22" spans="2:4" x14ac:dyDescent="0.25">
      <c r="B22" s="35"/>
      <c r="C22" s="35" t="s">
        <v>100</v>
      </c>
      <c r="D22" s="35"/>
    </row>
    <row r="23" spans="2:4" x14ac:dyDescent="0.25">
      <c r="C23" s="35" t="s">
        <v>103</v>
      </c>
      <c r="D23" s="35">
        <v>1</v>
      </c>
    </row>
    <row r="24" spans="2:4" x14ac:dyDescent="0.25">
      <c r="B24" s="59"/>
      <c r="C24" s="38" t="s">
        <v>105</v>
      </c>
      <c r="D24" s="35">
        <v>231</v>
      </c>
    </row>
    <row r="25" spans="2:4" x14ac:dyDescent="0.25">
      <c r="B25" t="s">
        <v>156</v>
      </c>
      <c r="C25" s="64" t="s">
        <v>157</v>
      </c>
      <c r="D25" s="35"/>
    </row>
    <row r="26" spans="2:4" x14ac:dyDescent="0.25">
      <c r="B26" s="59" t="s">
        <v>158</v>
      </c>
    </row>
    <row r="29" spans="2:4" ht="15.75" thickBot="1" x14ac:dyDescent="0.3"/>
    <row r="30" spans="2:4" ht="15.75" x14ac:dyDescent="0.25">
      <c r="B30" s="39" t="s">
        <v>107</v>
      </c>
      <c r="C30" s="40" t="s">
        <v>160</v>
      </c>
      <c r="D30" s="41" t="s">
        <v>112</v>
      </c>
    </row>
    <row r="31" spans="2:4" x14ac:dyDescent="0.25">
      <c r="B31" s="42" t="s">
        <v>108</v>
      </c>
      <c r="C31" s="43" t="s">
        <v>109</v>
      </c>
      <c r="D31" s="44">
        <v>82</v>
      </c>
    </row>
    <row r="32" spans="2:4" ht="15.75" thickBot="1" x14ac:dyDescent="0.3">
      <c r="B32" s="45" t="s">
        <v>110</v>
      </c>
      <c r="C32" s="46" t="s">
        <v>111</v>
      </c>
      <c r="D32" s="47">
        <v>79.900000000000006</v>
      </c>
    </row>
    <row r="34" spans="1:3" ht="21" x14ac:dyDescent="0.35">
      <c r="B34" s="60" t="s">
        <v>113</v>
      </c>
      <c r="C34" s="61">
        <v>2014</v>
      </c>
    </row>
    <row r="38" spans="1:3" x14ac:dyDescent="0.25">
      <c r="A38" s="35" t="s">
        <v>129</v>
      </c>
    </row>
    <row r="39" spans="1:3" x14ac:dyDescent="0.25">
      <c r="B39" s="51" t="s">
        <v>95</v>
      </c>
    </row>
    <row r="40" spans="1:3" x14ac:dyDescent="0.25">
      <c r="B40" s="48" t="s">
        <v>114</v>
      </c>
    </row>
    <row r="41" spans="1:3" x14ac:dyDescent="0.25">
      <c r="B41" s="48" t="s">
        <v>117</v>
      </c>
    </row>
    <row r="42" spans="1:3" x14ac:dyDescent="0.25">
      <c r="B42" s="48" t="s">
        <v>118</v>
      </c>
    </row>
    <row r="43" spans="1:3" x14ac:dyDescent="0.25">
      <c r="B43" s="48" t="str">
        <f>+"TEST_"&amp;B42</f>
        <v>TEST_TEST_DAP≥10cm</v>
      </c>
    </row>
    <row r="44" spans="1:3" x14ac:dyDescent="0.25">
      <c r="B44" s="48" t="s">
        <v>119</v>
      </c>
    </row>
    <row r="45" spans="1:3" x14ac:dyDescent="0.25">
      <c r="B45" s="48" t="s">
        <v>162</v>
      </c>
    </row>
    <row r="46" spans="1:3" x14ac:dyDescent="0.25">
      <c r="B46" s="48" t="s">
        <v>120</v>
      </c>
    </row>
    <row r="47" spans="1:3" x14ac:dyDescent="0.25">
      <c r="B47" s="48" t="str">
        <f>+B46&amp;"_ha"</f>
        <v>AB_ha</v>
      </c>
    </row>
    <row r="48" spans="1:3" x14ac:dyDescent="0.25">
      <c r="B48" s="53" t="s">
        <v>121</v>
      </c>
    </row>
    <row r="49" spans="2:4" x14ac:dyDescent="0.25">
      <c r="B49" s="53" t="s">
        <v>122</v>
      </c>
    </row>
    <row r="50" spans="2:4" x14ac:dyDescent="0.25">
      <c r="B50" s="53" t="str">
        <f>+"tC"</f>
        <v>tC</v>
      </c>
      <c r="C50" t="s">
        <v>163</v>
      </c>
      <c r="D50">
        <v>0.47</v>
      </c>
    </row>
    <row r="51" spans="2:4" x14ac:dyDescent="0.25">
      <c r="B51" s="53" t="s">
        <v>123</v>
      </c>
    </row>
    <row r="52" spans="2:4" x14ac:dyDescent="0.25">
      <c r="B52" s="54" t="s">
        <v>124</v>
      </c>
    </row>
    <row r="53" spans="2:4" x14ac:dyDescent="0.25">
      <c r="B53" s="54" t="s">
        <v>125</v>
      </c>
    </row>
    <row r="54" spans="2:4" x14ac:dyDescent="0.25">
      <c r="B54" s="54" t="str">
        <f>"tCE"</f>
        <v>tCE</v>
      </c>
    </row>
    <row r="55" spans="2:4" x14ac:dyDescent="0.25">
      <c r="B55" s="54" t="s">
        <v>126</v>
      </c>
    </row>
    <row r="56" spans="2:4" x14ac:dyDescent="0.25">
      <c r="B56" s="54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"/>
  <sheetViews>
    <sheetView zoomScale="110" zoomScaleNormal="110" workbookViewId="0"/>
  </sheetViews>
  <sheetFormatPr baseColWidth="10" defaultColWidth="9.140625" defaultRowHeight="14.25" x14ac:dyDescent="0.2"/>
  <cols>
    <col min="1" max="1" width="12.85546875" style="1" customWidth="1"/>
    <col min="2" max="2" width="17.7109375" style="1" customWidth="1"/>
    <col min="3" max="3" width="13.85546875" style="1" customWidth="1"/>
    <col min="4" max="4" width="16.5703125" style="1" customWidth="1"/>
    <col min="5" max="5" width="18.85546875" style="1" customWidth="1"/>
    <col min="6" max="6" width="17.7109375" style="1" customWidth="1"/>
    <col min="7" max="7" width="13.5703125" style="1" customWidth="1"/>
    <col min="8" max="8" width="10.140625" style="1" customWidth="1"/>
    <col min="9" max="16384" width="9.140625" style="1"/>
  </cols>
  <sheetData>
    <row r="1" spans="1:13" s="3" customFormat="1" ht="20.25" customHeight="1" x14ac:dyDescent="0.2">
      <c r="A1" s="6" t="s">
        <v>0</v>
      </c>
      <c r="B1" s="6" t="s">
        <v>1</v>
      </c>
      <c r="C1" s="6" t="s">
        <v>2</v>
      </c>
      <c r="D1" s="65" t="s">
        <v>3</v>
      </c>
      <c r="E1" s="65"/>
      <c r="F1" s="6" t="s">
        <v>4</v>
      </c>
      <c r="G1" s="7" t="s">
        <v>5</v>
      </c>
      <c r="H1" s="7" t="s">
        <v>6</v>
      </c>
      <c r="I1" s="2"/>
      <c r="J1" s="2"/>
      <c r="K1" s="2"/>
      <c r="L1" s="2"/>
      <c r="M1" s="2"/>
    </row>
    <row r="2" spans="1:13" ht="15.75" thickBot="1" x14ac:dyDescent="0.3">
      <c r="A2" s="4">
        <v>1</v>
      </c>
      <c r="B2" s="5" t="s">
        <v>8</v>
      </c>
      <c r="C2" s="8">
        <v>142</v>
      </c>
      <c r="D2" s="9">
        <v>50</v>
      </c>
      <c r="E2" s="9">
        <v>110</v>
      </c>
      <c r="F2" s="8">
        <v>10</v>
      </c>
      <c r="G2" s="10" t="s">
        <v>79</v>
      </c>
      <c r="H2" s="10" t="s">
        <v>7</v>
      </c>
      <c r="J2" s="21"/>
    </row>
    <row r="3" spans="1:13" ht="15" thickTop="1" x14ac:dyDescent="0.2">
      <c r="A3" s="4">
        <v>2</v>
      </c>
      <c r="B3" s="5"/>
      <c r="C3" s="8">
        <v>31.15</v>
      </c>
      <c r="D3" s="9">
        <v>55</v>
      </c>
      <c r="E3" s="9">
        <v>80</v>
      </c>
      <c r="F3" s="8"/>
      <c r="G3" s="17"/>
      <c r="H3" s="18"/>
    </row>
    <row r="4" spans="1:13" x14ac:dyDescent="0.2">
      <c r="A4" s="4">
        <v>3</v>
      </c>
      <c r="B4" s="5"/>
      <c r="C4" s="8">
        <v>20.5</v>
      </c>
      <c r="D4" s="9">
        <v>60</v>
      </c>
      <c r="E4" s="9">
        <v>103</v>
      </c>
      <c r="F4" s="8"/>
      <c r="G4" s="17"/>
      <c r="H4" s="18"/>
    </row>
    <row r="5" spans="1:13" x14ac:dyDescent="0.2">
      <c r="A5" s="4">
        <v>4</v>
      </c>
      <c r="B5" s="5"/>
      <c r="C5" s="8">
        <v>17</v>
      </c>
      <c r="D5" s="9"/>
      <c r="E5" s="9"/>
      <c r="F5" s="8"/>
      <c r="G5" s="17"/>
      <c r="H5" s="18"/>
    </row>
    <row r="6" spans="1:13" x14ac:dyDescent="0.2">
      <c r="A6" s="4">
        <v>5</v>
      </c>
      <c r="B6" s="5"/>
      <c r="C6" s="8">
        <v>13.5</v>
      </c>
      <c r="D6" s="9"/>
      <c r="E6" s="9"/>
      <c r="F6" s="8"/>
      <c r="G6" s="17"/>
      <c r="H6" s="18"/>
    </row>
    <row r="7" spans="1:13" x14ac:dyDescent="0.2">
      <c r="A7" s="4">
        <v>6</v>
      </c>
      <c r="B7" s="5"/>
      <c r="C7" s="8">
        <v>135</v>
      </c>
      <c r="D7" s="9"/>
      <c r="E7" s="9"/>
      <c r="F7" s="8"/>
      <c r="G7" s="17"/>
      <c r="H7" s="18"/>
    </row>
    <row r="8" spans="1:13" x14ac:dyDescent="0.2">
      <c r="A8" s="4">
        <v>7</v>
      </c>
      <c r="B8" s="5"/>
      <c r="C8" s="8">
        <v>37</v>
      </c>
      <c r="D8" s="9"/>
      <c r="E8" s="9"/>
      <c r="F8" s="8"/>
      <c r="G8" s="17"/>
      <c r="H8" s="18"/>
    </row>
    <row r="9" spans="1:13" x14ac:dyDescent="0.2">
      <c r="A9" s="4">
        <v>8</v>
      </c>
      <c r="B9" s="5" t="s">
        <v>9</v>
      </c>
      <c r="C9" s="8">
        <v>86</v>
      </c>
      <c r="D9" s="9">
        <v>60</v>
      </c>
      <c r="E9" s="9">
        <v>90</v>
      </c>
      <c r="F9" s="8">
        <v>8.65</v>
      </c>
      <c r="G9" s="17"/>
      <c r="H9" s="18"/>
    </row>
    <row r="10" spans="1:13" x14ac:dyDescent="0.2">
      <c r="A10" s="4">
        <v>9</v>
      </c>
      <c r="B10" s="5" t="s">
        <v>10</v>
      </c>
      <c r="C10" s="8">
        <v>49</v>
      </c>
      <c r="D10" s="9"/>
      <c r="E10" s="9"/>
      <c r="F10" s="8"/>
      <c r="G10" s="17"/>
      <c r="H10" s="18"/>
    </row>
    <row r="11" spans="1:13" x14ac:dyDescent="0.2">
      <c r="A11" s="4">
        <v>10</v>
      </c>
      <c r="B11" s="5"/>
      <c r="C11" s="8">
        <v>14</v>
      </c>
      <c r="D11" s="9"/>
      <c r="E11" s="9"/>
      <c r="F11" s="8"/>
      <c r="G11" s="17"/>
      <c r="H11" s="18"/>
    </row>
    <row r="12" spans="1:13" x14ac:dyDescent="0.2">
      <c r="A12" s="4">
        <v>11</v>
      </c>
      <c r="B12" s="5"/>
      <c r="C12" s="8">
        <v>24.5</v>
      </c>
      <c r="D12" s="9"/>
      <c r="E12" s="9"/>
      <c r="F12" s="8"/>
      <c r="G12" s="17"/>
      <c r="H12" s="18"/>
    </row>
    <row r="13" spans="1:13" x14ac:dyDescent="0.2">
      <c r="A13" s="4">
        <v>12</v>
      </c>
      <c r="B13" s="5"/>
      <c r="C13" s="8">
        <v>15.5</v>
      </c>
      <c r="D13" s="9"/>
      <c r="E13" s="9"/>
      <c r="F13" s="8"/>
      <c r="G13" s="17"/>
      <c r="H13" s="18"/>
    </row>
    <row r="14" spans="1:13" x14ac:dyDescent="0.2">
      <c r="A14" s="4">
        <v>13</v>
      </c>
      <c r="B14" s="5"/>
      <c r="C14" s="8">
        <v>16.5</v>
      </c>
      <c r="D14" s="9"/>
      <c r="E14" s="9"/>
      <c r="F14" s="8"/>
      <c r="G14" s="19"/>
      <c r="H14" s="20"/>
    </row>
    <row r="15" spans="1:13" ht="15.75" customHeight="1" x14ac:dyDescent="0.2">
      <c r="A15" s="4">
        <v>1</v>
      </c>
      <c r="B15" s="5" t="s">
        <v>13</v>
      </c>
      <c r="C15" s="8">
        <v>58</v>
      </c>
      <c r="D15" s="9">
        <v>55</v>
      </c>
      <c r="E15" s="9">
        <v>140</v>
      </c>
      <c r="F15" s="8">
        <v>11.5</v>
      </c>
      <c r="G15" s="16" t="s">
        <v>5</v>
      </c>
      <c r="H15" s="16" t="s">
        <v>6</v>
      </c>
    </row>
    <row r="16" spans="1:13" ht="15" thickBot="1" x14ac:dyDescent="0.25">
      <c r="A16" s="4">
        <v>2</v>
      </c>
      <c r="B16" s="5"/>
      <c r="C16" s="8">
        <v>14</v>
      </c>
      <c r="D16" s="9"/>
      <c r="E16" s="9"/>
      <c r="F16" s="8"/>
      <c r="G16" s="10" t="s">
        <v>11</v>
      </c>
      <c r="H16" s="10" t="s">
        <v>12</v>
      </c>
    </row>
    <row r="17" spans="1:8" ht="15" thickTop="1" x14ac:dyDescent="0.2">
      <c r="A17" s="4">
        <v>3</v>
      </c>
      <c r="B17" s="5"/>
      <c r="C17" s="8">
        <v>32</v>
      </c>
      <c r="D17" s="9"/>
      <c r="E17" s="9"/>
      <c r="F17" s="8"/>
    </row>
    <row r="18" spans="1:8" x14ac:dyDescent="0.2">
      <c r="A18" s="4">
        <v>4</v>
      </c>
      <c r="B18" s="5" t="s">
        <v>10</v>
      </c>
      <c r="C18" s="8">
        <v>33</v>
      </c>
      <c r="D18" s="9">
        <v>60</v>
      </c>
      <c r="E18" s="9">
        <v>120</v>
      </c>
      <c r="F18" s="8"/>
    </row>
    <row r="19" spans="1:8" x14ac:dyDescent="0.2">
      <c r="A19" s="4">
        <v>5</v>
      </c>
      <c r="B19" s="5"/>
      <c r="C19" s="8">
        <v>28</v>
      </c>
      <c r="D19" s="9"/>
      <c r="E19" s="9"/>
      <c r="F19" s="8"/>
    </row>
    <row r="20" spans="1:8" x14ac:dyDescent="0.2">
      <c r="A20" s="4">
        <v>6</v>
      </c>
      <c r="B20" s="5"/>
      <c r="C20" s="8">
        <v>30</v>
      </c>
      <c r="D20" s="9"/>
      <c r="E20" s="9"/>
      <c r="F20" s="8"/>
    </row>
    <row r="21" spans="1:8" x14ac:dyDescent="0.2">
      <c r="A21" s="4">
        <v>7</v>
      </c>
      <c r="B21" s="5"/>
      <c r="C21" s="8">
        <v>29</v>
      </c>
      <c r="D21" s="9"/>
      <c r="E21" s="9"/>
      <c r="F21" s="8"/>
    </row>
    <row r="22" spans="1:8" x14ac:dyDescent="0.2">
      <c r="A22" s="4">
        <v>8</v>
      </c>
      <c r="B22" s="5"/>
      <c r="C22" s="8">
        <v>70</v>
      </c>
      <c r="D22" s="9">
        <v>50</v>
      </c>
      <c r="E22" s="9">
        <v>140</v>
      </c>
      <c r="F22" s="8">
        <v>8.75</v>
      </c>
    </row>
    <row r="23" spans="1:8" x14ac:dyDescent="0.2">
      <c r="A23" s="4">
        <v>9</v>
      </c>
      <c r="B23" s="5"/>
      <c r="C23" s="8">
        <v>42.5</v>
      </c>
      <c r="D23" s="9"/>
      <c r="E23" s="9"/>
      <c r="F23" s="8"/>
    </row>
    <row r="24" spans="1:8" x14ac:dyDescent="0.2">
      <c r="A24" s="4">
        <v>10</v>
      </c>
      <c r="B24" s="5"/>
      <c r="C24" s="8">
        <v>68.5</v>
      </c>
      <c r="D24" s="9"/>
      <c r="E24" s="9"/>
      <c r="F24" s="8">
        <v>14.9</v>
      </c>
    </row>
    <row r="25" spans="1:8" x14ac:dyDescent="0.2">
      <c r="A25" s="4">
        <v>11</v>
      </c>
      <c r="B25" s="5"/>
      <c r="C25" s="8">
        <v>59</v>
      </c>
      <c r="D25" s="9"/>
      <c r="E25" s="9"/>
      <c r="F25" s="8"/>
    </row>
    <row r="26" spans="1:8" x14ac:dyDescent="0.2">
      <c r="A26" s="4">
        <v>12</v>
      </c>
      <c r="B26" s="5"/>
      <c r="C26" s="8">
        <v>40</v>
      </c>
      <c r="D26" s="9"/>
      <c r="E26" s="9"/>
      <c r="F26" s="8"/>
    </row>
    <row r="27" spans="1:8" x14ac:dyDescent="0.2">
      <c r="A27" s="4">
        <v>13</v>
      </c>
      <c r="B27" s="5"/>
      <c r="C27" s="8">
        <v>22</v>
      </c>
      <c r="D27" s="9"/>
      <c r="E27" s="9"/>
      <c r="F27" s="8"/>
    </row>
    <row r="28" spans="1:8" x14ac:dyDescent="0.2">
      <c r="A28" s="4">
        <v>1</v>
      </c>
      <c r="B28" s="5" t="s">
        <v>16</v>
      </c>
      <c r="C28" s="8">
        <v>74.5</v>
      </c>
      <c r="D28" s="9">
        <v>60</v>
      </c>
      <c r="E28" s="9">
        <v>140</v>
      </c>
      <c r="F28" s="8">
        <v>10</v>
      </c>
      <c r="G28" s="16" t="s">
        <v>5</v>
      </c>
      <c r="H28" s="16" t="s">
        <v>6</v>
      </c>
    </row>
    <row r="29" spans="1:8" ht="15" thickBot="1" x14ac:dyDescent="0.25">
      <c r="A29" s="4">
        <v>2</v>
      </c>
      <c r="B29" s="5"/>
      <c r="C29" s="8">
        <v>50.4</v>
      </c>
      <c r="D29" s="9"/>
      <c r="E29" s="9"/>
      <c r="F29" s="8"/>
      <c r="G29" s="10" t="s">
        <v>14</v>
      </c>
      <c r="H29" s="10" t="s">
        <v>15</v>
      </c>
    </row>
    <row r="30" spans="1:8" ht="15" thickTop="1" x14ac:dyDescent="0.2">
      <c r="A30" s="4">
        <v>3</v>
      </c>
      <c r="B30" s="5"/>
      <c r="C30" s="8">
        <v>55</v>
      </c>
      <c r="D30" s="9"/>
      <c r="E30" s="9"/>
      <c r="F30" s="8"/>
    </row>
    <row r="31" spans="1:8" x14ac:dyDescent="0.2">
      <c r="A31" s="4">
        <v>4</v>
      </c>
      <c r="B31" s="5"/>
      <c r="C31" s="8">
        <v>19</v>
      </c>
      <c r="D31" s="9"/>
      <c r="E31" s="9"/>
      <c r="F31" s="8"/>
    </row>
    <row r="32" spans="1:8" x14ac:dyDescent="0.2">
      <c r="A32" s="4">
        <v>5</v>
      </c>
      <c r="B32" s="5"/>
      <c r="C32" s="8">
        <v>22.5</v>
      </c>
      <c r="D32" s="9"/>
      <c r="E32" s="9"/>
      <c r="F32" s="8"/>
    </row>
    <row r="33" spans="1:8" x14ac:dyDescent="0.2">
      <c r="A33" s="4">
        <v>6</v>
      </c>
      <c r="B33" s="5"/>
      <c r="C33" s="8">
        <v>50</v>
      </c>
      <c r="D33" s="9">
        <v>60</v>
      </c>
      <c r="E33" s="9">
        <v>90</v>
      </c>
      <c r="F33" s="8">
        <v>11</v>
      </c>
    </row>
    <row r="34" spans="1:8" x14ac:dyDescent="0.2">
      <c r="A34" s="4">
        <v>7</v>
      </c>
      <c r="B34" s="5"/>
      <c r="C34" s="8">
        <v>18.5</v>
      </c>
      <c r="D34" s="9"/>
      <c r="E34" s="9"/>
      <c r="F34" s="8"/>
    </row>
    <row r="35" spans="1:8" x14ac:dyDescent="0.2">
      <c r="A35" s="4">
        <v>8</v>
      </c>
      <c r="B35" s="5"/>
      <c r="C35" s="8">
        <v>62</v>
      </c>
      <c r="D35" s="9">
        <v>20</v>
      </c>
      <c r="E35" s="9">
        <v>140</v>
      </c>
      <c r="F35" s="8"/>
    </row>
    <row r="36" spans="1:8" x14ac:dyDescent="0.2">
      <c r="A36" s="4">
        <v>1</v>
      </c>
      <c r="B36" s="5" t="s">
        <v>19</v>
      </c>
      <c r="C36" s="8">
        <v>82</v>
      </c>
      <c r="D36" s="9">
        <v>60</v>
      </c>
      <c r="E36" s="9">
        <v>140</v>
      </c>
      <c r="F36" s="8">
        <v>15</v>
      </c>
      <c r="G36" s="16" t="s">
        <v>5</v>
      </c>
      <c r="H36" s="16" t="s">
        <v>6</v>
      </c>
    </row>
    <row r="37" spans="1:8" ht="15" thickBot="1" x14ac:dyDescent="0.25">
      <c r="A37" s="4">
        <v>2</v>
      </c>
      <c r="B37" s="5"/>
      <c r="C37" s="8">
        <v>14</v>
      </c>
      <c r="D37" s="9"/>
      <c r="E37" s="9"/>
      <c r="F37" s="8"/>
      <c r="G37" s="10" t="s">
        <v>17</v>
      </c>
      <c r="H37" s="10" t="s">
        <v>18</v>
      </c>
    </row>
    <row r="38" spans="1:8" ht="15" thickTop="1" x14ac:dyDescent="0.2">
      <c r="A38" s="4">
        <v>3</v>
      </c>
      <c r="B38" s="5"/>
      <c r="C38" s="8">
        <v>13.5</v>
      </c>
      <c r="D38" s="9"/>
      <c r="E38" s="9"/>
      <c r="F38" s="8"/>
    </row>
    <row r="39" spans="1:8" x14ac:dyDescent="0.2">
      <c r="A39" s="4">
        <v>4</v>
      </c>
      <c r="B39" s="5"/>
      <c r="C39" s="8">
        <v>80</v>
      </c>
      <c r="D39" s="9">
        <v>50</v>
      </c>
      <c r="E39" s="9">
        <v>140</v>
      </c>
      <c r="F39" s="8"/>
    </row>
    <row r="40" spans="1:8" x14ac:dyDescent="0.2">
      <c r="A40" s="4">
        <v>5</v>
      </c>
      <c r="B40" s="5"/>
      <c r="C40" s="8">
        <v>25</v>
      </c>
      <c r="D40" s="9"/>
      <c r="E40" s="9"/>
      <c r="F40" s="8"/>
    </row>
    <row r="41" spans="1:8" x14ac:dyDescent="0.2">
      <c r="A41" s="4">
        <v>6</v>
      </c>
      <c r="B41" s="5"/>
      <c r="C41" s="8">
        <v>34</v>
      </c>
      <c r="D41" s="9"/>
      <c r="E41" s="9"/>
      <c r="F41" s="8"/>
    </row>
    <row r="42" spans="1:8" x14ac:dyDescent="0.2">
      <c r="A42" s="4">
        <v>7</v>
      </c>
      <c r="B42" s="5"/>
      <c r="C42" s="8">
        <v>21</v>
      </c>
      <c r="D42" s="9">
        <v>40</v>
      </c>
      <c r="E42" s="9">
        <v>120</v>
      </c>
      <c r="F42" s="8">
        <v>7</v>
      </c>
    </row>
    <row r="43" spans="1:8" x14ac:dyDescent="0.2">
      <c r="A43" s="4">
        <v>8</v>
      </c>
      <c r="B43" s="5"/>
      <c r="C43" s="8">
        <v>58</v>
      </c>
      <c r="D43" s="9"/>
      <c r="E43" s="9"/>
      <c r="F43" s="8"/>
    </row>
    <row r="44" spans="1:8" x14ac:dyDescent="0.2">
      <c r="A44" s="4">
        <v>9</v>
      </c>
      <c r="B44" s="5" t="s">
        <v>20</v>
      </c>
      <c r="C44" s="8">
        <v>97</v>
      </c>
      <c r="D44" s="9"/>
      <c r="E44" s="9"/>
      <c r="F44" s="8">
        <v>11.5</v>
      </c>
    </row>
    <row r="45" spans="1:8" x14ac:dyDescent="0.2">
      <c r="A45" s="4">
        <v>1</v>
      </c>
      <c r="B45" s="5" t="s">
        <v>10</v>
      </c>
      <c r="C45" s="8">
        <v>62</v>
      </c>
      <c r="D45" s="9">
        <v>55</v>
      </c>
      <c r="E45" s="9">
        <v>140</v>
      </c>
      <c r="F45" s="8"/>
      <c r="G45" s="16" t="s">
        <v>5</v>
      </c>
      <c r="H45" s="16" t="s">
        <v>6</v>
      </c>
    </row>
    <row r="46" spans="1:8" ht="15" thickBot="1" x14ac:dyDescent="0.25">
      <c r="A46" s="4">
        <v>2</v>
      </c>
      <c r="B46" s="5" t="s">
        <v>23</v>
      </c>
      <c r="C46" s="8">
        <v>76.400000000000006</v>
      </c>
      <c r="D46" s="9">
        <v>50</v>
      </c>
      <c r="E46" s="9">
        <v>140</v>
      </c>
      <c r="F46" s="8">
        <v>12</v>
      </c>
      <c r="G46" s="10" t="s">
        <v>21</v>
      </c>
      <c r="H46" s="10" t="s">
        <v>22</v>
      </c>
    </row>
    <row r="47" spans="1:8" ht="15" thickTop="1" x14ac:dyDescent="0.2">
      <c r="A47" s="4">
        <v>3</v>
      </c>
      <c r="B47" s="5" t="s">
        <v>24</v>
      </c>
      <c r="C47" s="8">
        <v>71</v>
      </c>
      <c r="D47" s="9"/>
      <c r="E47" s="9"/>
      <c r="F47" s="8">
        <v>13.5</v>
      </c>
    </row>
    <row r="48" spans="1:8" x14ac:dyDescent="0.2">
      <c r="A48" s="4">
        <v>4</v>
      </c>
      <c r="B48" s="5"/>
      <c r="C48" s="8">
        <v>73</v>
      </c>
      <c r="D48" s="9">
        <v>55</v>
      </c>
      <c r="E48" s="9">
        <v>140</v>
      </c>
      <c r="F48" s="8">
        <v>10</v>
      </c>
    </row>
    <row r="49" spans="1:8" x14ac:dyDescent="0.2">
      <c r="A49" s="4">
        <v>5</v>
      </c>
      <c r="B49" s="5"/>
      <c r="C49" s="8">
        <v>59.5</v>
      </c>
      <c r="D49" s="9"/>
      <c r="E49" s="9"/>
      <c r="F49" s="8"/>
    </row>
    <row r="50" spans="1:8" x14ac:dyDescent="0.2">
      <c r="A50" s="4">
        <v>6</v>
      </c>
      <c r="B50" s="5"/>
      <c r="C50" s="8">
        <v>55</v>
      </c>
      <c r="D50" s="9"/>
      <c r="E50" s="9"/>
      <c r="F50" s="8"/>
    </row>
    <row r="51" spans="1:8" x14ac:dyDescent="0.2">
      <c r="A51" s="4">
        <v>1</v>
      </c>
      <c r="B51" s="5" t="s">
        <v>27</v>
      </c>
      <c r="C51" s="8">
        <v>47.3</v>
      </c>
      <c r="D51" s="9">
        <v>55</v>
      </c>
      <c r="E51" s="9">
        <v>90</v>
      </c>
      <c r="F51" s="8"/>
      <c r="G51" s="16" t="s">
        <v>5</v>
      </c>
      <c r="H51" s="16" t="s">
        <v>6</v>
      </c>
    </row>
    <row r="52" spans="1:8" ht="15" thickBot="1" x14ac:dyDescent="0.25">
      <c r="A52" s="4">
        <v>2</v>
      </c>
      <c r="B52" s="5" t="s">
        <v>28</v>
      </c>
      <c r="C52" s="8">
        <v>32</v>
      </c>
      <c r="D52" s="9">
        <v>50</v>
      </c>
      <c r="E52" s="9">
        <v>60</v>
      </c>
      <c r="F52" s="8"/>
      <c r="G52" s="10" t="s">
        <v>25</v>
      </c>
      <c r="H52" s="10" t="s">
        <v>26</v>
      </c>
    </row>
    <row r="53" spans="1:8" ht="15" thickTop="1" x14ac:dyDescent="0.2">
      <c r="A53" s="4">
        <v>3</v>
      </c>
      <c r="B53" s="5" t="s">
        <v>24</v>
      </c>
      <c r="C53" s="8">
        <v>33.799999999999997</v>
      </c>
      <c r="D53" s="9">
        <v>60</v>
      </c>
      <c r="E53" s="9">
        <v>90</v>
      </c>
      <c r="F53" s="8"/>
    </row>
    <row r="54" spans="1:8" x14ac:dyDescent="0.2">
      <c r="A54" s="4">
        <v>4</v>
      </c>
      <c r="B54" s="5"/>
      <c r="C54" s="8">
        <v>26.6</v>
      </c>
      <c r="D54" s="9"/>
      <c r="E54" s="9"/>
      <c r="F54" s="8"/>
    </row>
    <row r="55" spans="1:8" x14ac:dyDescent="0.2">
      <c r="A55" s="4">
        <v>5</v>
      </c>
      <c r="B55" s="5"/>
      <c r="C55" s="8">
        <v>23.5</v>
      </c>
      <c r="D55" s="9"/>
      <c r="E55" s="9"/>
      <c r="F55" s="8">
        <v>8</v>
      </c>
    </row>
    <row r="56" spans="1:8" x14ac:dyDescent="0.2">
      <c r="A56" s="4">
        <v>6</v>
      </c>
      <c r="B56" s="5" t="s">
        <v>24</v>
      </c>
      <c r="C56" s="8">
        <v>75.5</v>
      </c>
      <c r="D56" s="9"/>
      <c r="E56" s="9"/>
      <c r="F56" s="8">
        <v>10</v>
      </c>
    </row>
    <row r="57" spans="1:8" x14ac:dyDescent="0.2">
      <c r="A57" s="4">
        <v>1</v>
      </c>
      <c r="B57" s="5" t="s">
        <v>24</v>
      </c>
      <c r="C57" s="8">
        <v>68</v>
      </c>
      <c r="D57" s="9">
        <v>60</v>
      </c>
      <c r="E57" s="9">
        <v>140</v>
      </c>
      <c r="F57" s="8">
        <v>8</v>
      </c>
      <c r="G57" s="16" t="s">
        <v>5</v>
      </c>
      <c r="H57" s="16" t="s">
        <v>6</v>
      </c>
    </row>
    <row r="58" spans="1:8" ht="15" thickBot="1" x14ac:dyDescent="0.25">
      <c r="A58" s="4">
        <v>2</v>
      </c>
      <c r="B58" s="5"/>
      <c r="C58" s="8">
        <v>29</v>
      </c>
      <c r="D58" s="9"/>
      <c r="E58" s="9"/>
      <c r="F58" s="8"/>
      <c r="G58" s="10" t="s">
        <v>80</v>
      </c>
      <c r="H58" s="10" t="s">
        <v>29</v>
      </c>
    </row>
    <row r="59" spans="1:8" ht="15" thickTop="1" x14ac:dyDescent="0.2">
      <c r="A59" s="4">
        <v>3</v>
      </c>
      <c r="B59" s="5"/>
      <c r="C59" s="8">
        <v>32</v>
      </c>
      <c r="D59" s="9"/>
      <c r="E59" s="9"/>
      <c r="F59" s="8"/>
    </row>
    <row r="60" spans="1:8" x14ac:dyDescent="0.2">
      <c r="A60" s="4">
        <v>4</v>
      </c>
      <c r="B60" s="5"/>
      <c r="C60" s="8">
        <v>47.5</v>
      </c>
      <c r="D60" s="9">
        <v>60</v>
      </c>
      <c r="E60" s="9">
        <v>145</v>
      </c>
      <c r="F60" s="8">
        <v>9</v>
      </c>
    </row>
    <row r="61" spans="1:8" x14ac:dyDescent="0.2">
      <c r="A61" s="4">
        <v>5</v>
      </c>
      <c r="B61" s="5"/>
      <c r="C61" s="8">
        <v>45.3</v>
      </c>
      <c r="D61" s="9"/>
      <c r="E61" s="9"/>
      <c r="F61" s="8"/>
    </row>
    <row r="62" spans="1:8" x14ac:dyDescent="0.2">
      <c r="A62" s="4">
        <v>6</v>
      </c>
      <c r="B62" s="5"/>
      <c r="C62" s="8">
        <v>26</v>
      </c>
      <c r="D62" s="9"/>
      <c r="E62" s="9"/>
      <c r="F62" s="8"/>
    </row>
    <row r="63" spans="1:8" x14ac:dyDescent="0.2">
      <c r="A63" s="4">
        <v>7</v>
      </c>
      <c r="B63" s="5"/>
      <c r="C63" s="8">
        <v>67</v>
      </c>
      <c r="D63" s="9">
        <v>70</v>
      </c>
      <c r="E63" s="9">
        <v>120</v>
      </c>
      <c r="F63" s="8"/>
    </row>
    <row r="64" spans="1:8" x14ac:dyDescent="0.2">
      <c r="A64" s="4">
        <v>8</v>
      </c>
      <c r="B64" s="5" t="s">
        <v>24</v>
      </c>
      <c r="C64" s="8">
        <v>65</v>
      </c>
      <c r="D64" s="9"/>
      <c r="E64" s="9"/>
      <c r="F64" s="8"/>
    </row>
    <row r="65" spans="1:8" x14ac:dyDescent="0.2">
      <c r="A65" s="4">
        <v>9</v>
      </c>
      <c r="B65" s="5" t="s">
        <v>24</v>
      </c>
      <c r="C65" s="8">
        <v>84</v>
      </c>
      <c r="D65" s="9"/>
      <c r="E65" s="9"/>
      <c r="F65" s="8">
        <v>12</v>
      </c>
    </row>
    <row r="66" spans="1:8" x14ac:dyDescent="0.2">
      <c r="A66" s="4">
        <v>10</v>
      </c>
      <c r="B66" s="5"/>
      <c r="C66" s="8">
        <v>18</v>
      </c>
      <c r="D66" s="9"/>
      <c r="E66" s="9"/>
      <c r="F66" s="8"/>
    </row>
    <row r="67" spans="1:8" x14ac:dyDescent="0.2">
      <c r="A67" s="4">
        <v>11</v>
      </c>
      <c r="B67" s="5"/>
      <c r="C67" s="8">
        <v>42</v>
      </c>
      <c r="D67" s="9"/>
      <c r="E67" s="9"/>
      <c r="F67" s="8"/>
    </row>
    <row r="68" spans="1:8" x14ac:dyDescent="0.2">
      <c r="A68" s="4">
        <v>12</v>
      </c>
      <c r="B68" s="5"/>
      <c r="C68" s="8">
        <v>16</v>
      </c>
      <c r="D68" s="9"/>
      <c r="E68" s="9"/>
      <c r="F68" s="8"/>
    </row>
    <row r="69" spans="1:8" x14ac:dyDescent="0.2">
      <c r="A69" s="4">
        <v>13</v>
      </c>
      <c r="B69" s="5"/>
      <c r="C69" s="8">
        <v>13</v>
      </c>
      <c r="D69" s="9"/>
      <c r="E69" s="9"/>
      <c r="F69" s="8"/>
    </row>
    <row r="70" spans="1:8" ht="15" x14ac:dyDescent="0.25">
      <c r="A70" s="4">
        <v>14</v>
      </c>
      <c r="B70" s="11"/>
      <c r="C70" s="12">
        <v>18</v>
      </c>
      <c r="D70" s="11"/>
      <c r="E70" s="11"/>
      <c r="F70" s="12"/>
    </row>
    <row r="71" spans="1:8" ht="15" x14ac:dyDescent="0.25">
      <c r="A71" s="4">
        <v>15</v>
      </c>
      <c r="B71" s="11"/>
      <c r="C71" s="12">
        <v>15</v>
      </c>
      <c r="D71" s="11"/>
      <c r="E71" s="11"/>
      <c r="F71" s="12"/>
    </row>
    <row r="72" spans="1:8" x14ac:dyDescent="0.2">
      <c r="A72" s="4">
        <v>1</v>
      </c>
      <c r="B72" s="1" t="s">
        <v>31</v>
      </c>
      <c r="C72" s="8">
        <v>45.5</v>
      </c>
      <c r="D72" s="9"/>
      <c r="E72" s="9"/>
      <c r="F72" s="8">
        <v>10.5</v>
      </c>
      <c r="G72" s="16" t="s">
        <v>5</v>
      </c>
      <c r="H72" s="16" t="s">
        <v>6</v>
      </c>
    </row>
    <row r="73" spans="1:8" ht="15" thickBot="1" x14ac:dyDescent="0.25">
      <c r="A73" s="4">
        <v>2</v>
      </c>
      <c r="B73" s="5" t="s">
        <v>33</v>
      </c>
      <c r="C73" s="8">
        <v>51.8</v>
      </c>
      <c r="D73" s="9">
        <v>44</v>
      </c>
      <c r="E73" s="9">
        <v>120</v>
      </c>
      <c r="F73" s="8">
        <v>7</v>
      </c>
      <c r="G73" s="10" t="s">
        <v>32</v>
      </c>
      <c r="H73" s="10" t="s">
        <v>30</v>
      </c>
    </row>
    <row r="74" spans="1:8" ht="15" thickTop="1" x14ac:dyDescent="0.2">
      <c r="A74" s="4">
        <v>3</v>
      </c>
      <c r="B74" s="5" t="s">
        <v>34</v>
      </c>
      <c r="C74" s="8">
        <v>71.3</v>
      </c>
      <c r="D74" s="9">
        <v>42</v>
      </c>
      <c r="E74" s="9">
        <v>107</v>
      </c>
      <c r="F74" s="8">
        <v>8.5</v>
      </c>
    </row>
    <row r="75" spans="1:8" x14ac:dyDescent="0.2">
      <c r="A75" s="4">
        <v>4</v>
      </c>
      <c r="B75" s="5" t="s">
        <v>24</v>
      </c>
      <c r="C75" s="8">
        <v>67.900000000000006</v>
      </c>
      <c r="D75" s="9"/>
      <c r="E75" s="9"/>
      <c r="F75" s="8">
        <v>9.5</v>
      </c>
    </row>
    <row r="76" spans="1:8" x14ac:dyDescent="0.2">
      <c r="A76" s="4">
        <v>5</v>
      </c>
      <c r="B76" s="5"/>
      <c r="C76" s="8">
        <v>18</v>
      </c>
      <c r="D76" s="9"/>
      <c r="E76" s="9"/>
      <c r="F76" s="8">
        <v>7</v>
      </c>
    </row>
    <row r="77" spans="1:8" x14ac:dyDescent="0.2">
      <c r="A77" s="4">
        <v>6</v>
      </c>
      <c r="B77" s="5"/>
      <c r="C77" s="8">
        <v>21.4</v>
      </c>
      <c r="D77" s="9"/>
      <c r="E77" s="9"/>
      <c r="F77" s="8">
        <v>9</v>
      </c>
    </row>
    <row r="78" spans="1:8" x14ac:dyDescent="0.2">
      <c r="A78" s="4">
        <v>7</v>
      </c>
      <c r="B78" s="5"/>
      <c r="C78" s="8">
        <v>26.5</v>
      </c>
      <c r="D78" s="9"/>
      <c r="E78" s="9"/>
      <c r="F78" s="8">
        <v>7</v>
      </c>
    </row>
    <row r="79" spans="1:8" x14ac:dyDescent="0.2">
      <c r="A79" s="4">
        <v>8</v>
      </c>
      <c r="B79" s="5"/>
      <c r="C79" s="8">
        <v>39.799999999999997</v>
      </c>
      <c r="D79" s="9"/>
      <c r="E79" s="9"/>
      <c r="F79" s="8">
        <v>5</v>
      </c>
    </row>
    <row r="80" spans="1:8" x14ac:dyDescent="0.2">
      <c r="A80" s="4">
        <v>9</v>
      </c>
      <c r="B80" s="5"/>
      <c r="C80" s="8">
        <v>20.5</v>
      </c>
      <c r="D80" s="9"/>
      <c r="E80" s="9"/>
      <c r="F80" s="8">
        <v>4</v>
      </c>
    </row>
    <row r="81" spans="1:8" x14ac:dyDescent="0.2">
      <c r="A81" s="4">
        <v>10</v>
      </c>
      <c r="B81" s="5"/>
      <c r="C81" s="8">
        <v>48.9</v>
      </c>
      <c r="D81" s="9"/>
      <c r="E81" s="9"/>
      <c r="F81" s="8">
        <v>7</v>
      </c>
    </row>
    <row r="82" spans="1:8" x14ac:dyDescent="0.2">
      <c r="A82" s="4">
        <v>11</v>
      </c>
      <c r="B82" s="5" t="s">
        <v>35</v>
      </c>
      <c r="C82" s="8">
        <v>16.5</v>
      </c>
      <c r="D82" s="9"/>
      <c r="E82" s="9"/>
      <c r="F82" s="8">
        <v>2</v>
      </c>
    </row>
    <row r="83" spans="1:8" x14ac:dyDescent="0.2">
      <c r="A83" s="4">
        <v>12</v>
      </c>
      <c r="B83" s="5" t="s">
        <v>36</v>
      </c>
      <c r="C83" s="8">
        <v>22.8</v>
      </c>
      <c r="D83" s="9"/>
      <c r="E83" s="9"/>
      <c r="F83" s="8">
        <v>5</v>
      </c>
    </row>
    <row r="84" spans="1:8" x14ac:dyDescent="0.2">
      <c r="A84" s="4">
        <v>13</v>
      </c>
      <c r="B84" s="5"/>
      <c r="C84" s="8">
        <v>11</v>
      </c>
      <c r="D84" s="9"/>
      <c r="E84" s="9"/>
      <c r="F84" s="8">
        <v>2</v>
      </c>
    </row>
    <row r="85" spans="1:8" x14ac:dyDescent="0.2">
      <c r="A85" s="4">
        <v>14</v>
      </c>
      <c r="B85" s="5"/>
      <c r="C85" s="8">
        <v>26.1</v>
      </c>
      <c r="D85" s="5">
        <v>32</v>
      </c>
      <c r="E85" s="5">
        <v>60</v>
      </c>
      <c r="F85" s="8">
        <v>5.5</v>
      </c>
    </row>
    <row r="86" spans="1:8" x14ac:dyDescent="0.2">
      <c r="A86" s="4">
        <v>15</v>
      </c>
      <c r="B86" s="5"/>
      <c r="C86" s="8">
        <v>38.200000000000003</v>
      </c>
      <c r="D86" s="5"/>
      <c r="E86" s="5"/>
      <c r="F86" s="8">
        <v>5.5</v>
      </c>
    </row>
    <row r="87" spans="1:8" x14ac:dyDescent="0.2">
      <c r="A87" s="13">
        <v>16</v>
      </c>
      <c r="B87" s="14"/>
      <c r="C87" s="8">
        <v>69.2</v>
      </c>
      <c r="D87" s="14"/>
      <c r="E87" s="14"/>
      <c r="F87" s="8">
        <v>8.5</v>
      </c>
    </row>
    <row r="88" spans="1:8" x14ac:dyDescent="0.2">
      <c r="A88" s="4">
        <v>1</v>
      </c>
      <c r="C88" s="8">
        <v>18.899999999999999</v>
      </c>
      <c r="D88" s="9">
        <v>40</v>
      </c>
      <c r="E88" s="9">
        <v>60</v>
      </c>
      <c r="F88" s="8">
        <v>3</v>
      </c>
      <c r="G88" s="16" t="s">
        <v>5</v>
      </c>
      <c r="H88" s="16" t="s">
        <v>6</v>
      </c>
    </row>
    <row r="89" spans="1:8" ht="15" thickBot="1" x14ac:dyDescent="0.25">
      <c r="A89" s="4">
        <v>2</v>
      </c>
      <c r="B89" s="5"/>
      <c r="C89" s="8">
        <v>16</v>
      </c>
      <c r="D89" s="9">
        <v>20</v>
      </c>
      <c r="E89" s="9">
        <v>140</v>
      </c>
      <c r="F89" s="8">
        <v>2.25</v>
      </c>
      <c r="G89" s="10" t="s">
        <v>37</v>
      </c>
      <c r="H89" s="10" t="s">
        <v>38</v>
      </c>
    </row>
    <row r="90" spans="1:8" ht="15" thickTop="1" x14ac:dyDescent="0.2">
      <c r="A90" s="4">
        <v>3</v>
      </c>
      <c r="B90" s="5"/>
      <c r="C90" s="8">
        <v>39</v>
      </c>
      <c r="D90" s="9"/>
      <c r="E90" s="9"/>
      <c r="F90" s="8">
        <v>4.5</v>
      </c>
    </row>
    <row r="91" spans="1:8" x14ac:dyDescent="0.2">
      <c r="A91" s="4">
        <v>4</v>
      </c>
      <c r="B91" s="5"/>
      <c r="C91" s="8">
        <v>144.69999999999999</v>
      </c>
      <c r="D91" s="9"/>
      <c r="E91" s="9"/>
      <c r="F91" s="8">
        <v>10.7</v>
      </c>
    </row>
    <row r="92" spans="1:8" x14ac:dyDescent="0.2">
      <c r="A92" s="4">
        <v>5</v>
      </c>
      <c r="B92" s="5" t="s">
        <v>39</v>
      </c>
      <c r="C92" s="8">
        <v>81.3</v>
      </c>
      <c r="D92" s="9"/>
      <c r="E92" s="9"/>
      <c r="F92" s="8">
        <v>12</v>
      </c>
    </row>
    <row r="93" spans="1:8" x14ac:dyDescent="0.2">
      <c r="A93" s="4">
        <v>6</v>
      </c>
      <c r="B93" s="5"/>
      <c r="C93" s="8">
        <v>10.6</v>
      </c>
      <c r="D93" s="9"/>
      <c r="E93" s="9"/>
      <c r="F93" s="8">
        <v>3.25</v>
      </c>
    </row>
    <row r="94" spans="1:8" x14ac:dyDescent="0.2">
      <c r="A94" s="4">
        <v>7</v>
      </c>
      <c r="B94" s="5" t="s">
        <v>40</v>
      </c>
      <c r="C94" s="8">
        <v>11.6</v>
      </c>
      <c r="D94" s="9"/>
      <c r="E94" s="9"/>
      <c r="F94" s="8">
        <v>4</v>
      </c>
    </row>
    <row r="95" spans="1:8" x14ac:dyDescent="0.2">
      <c r="A95" s="4">
        <v>8</v>
      </c>
      <c r="B95" s="5" t="s">
        <v>48</v>
      </c>
      <c r="C95" s="8">
        <v>10</v>
      </c>
      <c r="D95" s="9"/>
      <c r="E95" s="9"/>
      <c r="F95" s="8">
        <v>4.5</v>
      </c>
    </row>
    <row r="96" spans="1:8" x14ac:dyDescent="0.2">
      <c r="A96" s="4">
        <v>9</v>
      </c>
      <c r="B96" s="5"/>
      <c r="C96" s="8">
        <v>24.6</v>
      </c>
      <c r="D96" s="9"/>
      <c r="E96" s="9"/>
      <c r="F96" s="8">
        <v>11</v>
      </c>
    </row>
    <row r="97" spans="1:8" x14ac:dyDescent="0.2">
      <c r="A97" s="4">
        <v>10</v>
      </c>
      <c r="B97" s="5"/>
      <c r="C97" s="8">
        <v>49.6</v>
      </c>
      <c r="D97" s="9">
        <v>30</v>
      </c>
      <c r="E97" s="9">
        <v>130</v>
      </c>
      <c r="F97" s="8">
        <v>8.75</v>
      </c>
    </row>
    <row r="98" spans="1:8" x14ac:dyDescent="0.2">
      <c r="A98" s="4">
        <v>11</v>
      </c>
      <c r="B98" s="5"/>
      <c r="C98" s="8">
        <v>26.4</v>
      </c>
      <c r="D98" s="9">
        <v>15</v>
      </c>
      <c r="E98" s="9">
        <v>110</v>
      </c>
      <c r="F98" s="8">
        <v>4.25</v>
      </c>
    </row>
    <row r="99" spans="1:8" x14ac:dyDescent="0.2">
      <c r="A99" s="4">
        <v>12</v>
      </c>
      <c r="B99" s="5" t="s">
        <v>41</v>
      </c>
      <c r="C99" s="8">
        <v>48.8</v>
      </c>
      <c r="D99" s="9"/>
      <c r="E99" s="9"/>
      <c r="F99" s="8">
        <v>6.25</v>
      </c>
    </row>
    <row r="100" spans="1:8" x14ac:dyDescent="0.2">
      <c r="A100" s="4">
        <v>13</v>
      </c>
      <c r="B100" s="5" t="s">
        <v>40</v>
      </c>
      <c r="C100" s="8">
        <v>11</v>
      </c>
      <c r="D100" s="9"/>
      <c r="E100" s="9"/>
      <c r="F100" s="8">
        <v>1.5</v>
      </c>
    </row>
    <row r="101" spans="1:8" x14ac:dyDescent="0.2">
      <c r="A101" s="4">
        <v>14</v>
      </c>
      <c r="B101" s="5" t="s">
        <v>39</v>
      </c>
      <c r="C101" s="8">
        <v>57.2</v>
      </c>
      <c r="D101" s="5"/>
      <c r="E101" s="5"/>
      <c r="F101" s="8">
        <v>5.5</v>
      </c>
    </row>
    <row r="102" spans="1:8" x14ac:dyDescent="0.2">
      <c r="A102" s="4">
        <v>15</v>
      </c>
      <c r="B102" s="5"/>
      <c r="C102" s="8">
        <v>10</v>
      </c>
      <c r="D102" s="5"/>
      <c r="E102" s="5"/>
      <c r="F102" s="8">
        <v>4</v>
      </c>
    </row>
    <row r="103" spans="1:8" x14ac:dyDescent="0.2">
      <c r="A103" s="13">
        <v>16</v>
      </c>
      <c r="B103" s="14"/>
      <c r="C103" s="8">
        <v>30.4</v>
      </c>
      <c r="D103" s="14"/>
      <c r="E103" s="14"/>
      <c r="F103" s="8">
        <v>7</v>
      </c>
    </row>
    <row r="104" spans="1:8" ht="15" x14ac:dyDescent="0.25">
      <c r="A104" s="13">
        <v>17</v>
      </c>
      <c r="B104" s="11"/>
      <c r="C104" s="12">
        <v>44.7</v>
      </c>
      <c r="D104" s="11"/>
      <c r="E104" s="11"/>
      <c r="F104" s="12">
        <v>10</v>
      </c>
    </row>
    <row r="105" spans="1:8" x14ac:dyDescent="0.2">
      <c r="A105" s="4">
        <v>1</v>
      </c>
      <c r="C105" s="8">
        <v>35.6</v>
      </c>
      <c r="D105" s="9">
        <v>23</v>
      </c>
      <c r="E105" s="9">
        <v>140</v>
      </c>
      <c r="F105" s="8"/>
      <c r="G105" s="16" t="s">
        <v>5</v>
      </c>
      <c r="H105" s="16" t="s">
        <v>6</v>
      </c>
    </row>
    <row r="106" spans="1:8" ht="15" thickBot="1" x14ac:dyDescent="0.25">
      <c r="A106" s="4">
        <v>2</v>
      </c>
      <c r="B106" s="5"/>
      <c r="C106" s="8">
        <v>21.9</v>
      </c>
      <c r="D106" s="9">
        <v>22</v>
      </c>
      <c r="E106" s="9">
        <v>55</v>
      </c>
      <c r="F106" s="8">
        <v>5.5</v>
      </c>
      <c r="G106" s="10" t="s">
        <v>42</v>
      </c>
      <c r="H106" s="10" t="s">
        <v>43</v>
      </c>
    </row>
    <row r="107" spans="1:8" ht="15" thickTop="1" x14ac:dyDescent="0.2">
      <c r="A107" s="4">
        <v>3</v>
      </c>
      <c r="B107" s="5"/>
      <c r="C107" s="8">
        <v>82.8</v>
      </c>
      <c r="D107" s="9"/>
      <c r="E107" s="9"/>
      <c r="F107" s="8">
        <v>12</v>
      </c>
    </row>
    <row r="108" spans="1:8" x14ac:dyDescent="0.2">
      <c r="A108" s="4">
        <v>4</v>
      </c>
      <c r="B108" s="5" t="s">
        <v>39</v>
      </c>
      <c r="C108" s="8">
        <v>139.80000000000001</v>
      </c>
      <c r="D108" s="9"/>
      <c r="E108" s="9"/>
      <c r="F108" s="8">
        <v>10.5</v>
      </c>
    </row>
    <row r="109" spans="1:8" x14ac:dyDescent="0.2">
      <c r="A109" s="4">
        <v>5</v>
      </c>
      <c r="C109" s="8">
        <v>26</v>
      </c>
      <c r="D109" s="9"/>
      <c r="E109" s="9"/>
      <c r="F109" s="8">
        <v>6</v>
      </c>
    </row>
    <row r="110" spans="1:8" x14ac:dyDescent="0.2">
      <c r="A110" s="4">
        <v>6</v>
      </c>
      <c r="B110" s="5"/>
      <c r="C110" s="8">
        <v>16.600000000000001</v>
      </c>
      <c r="D110" s="9"/>
      <c r="E110" s="9"/>
      <c r="F110" s="8">
        <v>4</v>
      </c>
    </row>
    <row r="111" spans="1:8" x14ac:dyDescent="0.2">
      <c r="A111" s="4">
        <v>7</v>
      </c>
      <c r="B111" s="5"/>
      <c r="C111" s="8">
        <v>13.5</v>
      </c>
      <c r="D111" s="9"/>
      <c r="E111" s="9"/>
      <c r="F111" s="8">
        <v>3.5</v>
      </c>
    </row>
    <row r="112" spans="1:8" x14ac:dyDescent="0.2">
      <c r="A112" s="4">
        <v>8</v>
      </c>
      <c r="C112" s="8">
        <v>12.7</v>
      </c>
      <c r="D112" s="9"/>
      <c r="E112" s="9"/>
      <c r="F112" s="8">
        <v>5</v>
      </c>
    </row>
    <row r="113" spans="1:6" x14ac:dyDescent="0.2">
      <c r="A113" s="4">
        <v>9</v>
      </c>
      <c r="B113" s="5"/>
      <c r="C113" s="8">
        <v>16.8</v>
      </c>
      <c r="D113" s="9"/>
      <c r="E113" s="9"/>
      <c r="F113" s="8">
        <v>3.5</v>
      </c>
    </row>
    <row r="114" spans="1:6" x14ac:dyDescent="0.2">
      <c r="A114" s="4">
        <v>10</v>
      </c>
      <c r="B114" s="5" t="s">
        <v>35</v>
      </c>
      <c r="C114" s="8">
        <v>4.3</v>
      </c>
      <c r="D114" s="9">
        <v>23</v>
      </c>
      <c r="E114" s="9">
        <v>115</v>
      </c>
      <c r="F114" s="8">
        <v>4</v>
      </c>
    </row>
    <row r="115" spans="1:6" x14ac:dyDescent="0.2">
      <c r="A115" s="4">
        <v>11</v>
      </c>
      <c r="B115" s="5"/>
      <c r="C115" s="8">
        <v>14.8</v>
      </c>
      <c r="D115" s="9"/>
      <c r="E115" s="9"/>
      <c r="F115" s="8">
        <v>6</v>
      </c>
    </row>
    <row r="116" spans="1:6" x14ac:dyDescent="0.2">
      <c r="A116" s="4">
        <v>12</v>
      </c>
      <c r="B116" s="5"/>
      <c r="C116" s="8">
        <v>22.6</v>
      </c>
      <c r="D116" s="9"/>
      <c r="E116" s="9"/>
      <c r="F116" s="8">
        <v>5</v>
      </c>
    </row>
    <row r="117" spans="1:6" x14ac:dyDescent="0.2">
      <c r="A117" s="4">
        <v>13</v>
      </c>
      <c r="B117" s="5"/>
      <c r="C117" s="8">
        <v>10.1</v>
      </c>
      <c r="D117" s="9"/>
      <c r="E117" s="9"/>
      <c r="F117" s="8">
        <v>2</v>
      </c>
    </row>
    <row r="118" spans="1:6" x14ac:dyDescent="0.2">
      <c r="A118" s="4">
        <v>14</v>
      </c>
      <c r="B118" s="5" t="s">
        <v>44</v>
      </c>
      <c r="C118" s="8">
        <v>93</v>
      </c>
      <c r="D118" s="5"/>
      <c r="E118" s="5"/>
      <c r="F118" s="8">
        <v>9.5</v>
      </c>
    </row>
    <row r="119" spans="1:6" x14ac:dyDescent="0.2">
      <c r="A119" s="4">
        <v>15</v>
      </c>
      <c r="B119" s="5" t="s">
        <v>48</v>
      </c>
      <c r="C119" s="8">
        <v>10</v>
      </c>
      <c r="D119" s="5"/>
      <c r="E119" s="5"/>
      <c r="F119" s="8">
        <v>1.3</v>
      </c>
    </row>
    <row r="120" spans="1:6" x14ac:dyDescent="0.2">
      <c r="A120" s="13">
        <v>16</v>
      </c>
      <c r="B120" s="14"/>
      <c r="C120" s="8">
        <v>14.7</v>
      </c>
      <c r="D120" s="14"/>
      <c r="E120" s="14"/>
      <c r="F120" s="8">
        <v>4</v>
      </c>
    </row>
    <row r="121" spans="1:6" x14ac:dyDescent="0.2">
      <c r="A121" s="13">
        <v>17</v>
      </c>
      <c r="B121" s="5" t="s">
        <v>45</v>
      </c>
      <c r="C121" s="8">
        <v>44</v>
      </c>
      <c r="D121" s="5"/>
      <c r="E121" s="5"/>
      <c r="F121" s="8">
        <v>7</v>
      </c>
    </row>
    <row r="122" spans="1:6" x14ac:dyDescent="0.2">
      <c r="A122" s="15">
        <v>18</v>
      </c>
      <c r="B122" s="9"/>
      <c r="C122" s="8">
        <v>11</v>
      </c>
      <c r="D122" s="9"/>
      <c r="E122" s="9"/>
      <c r="F122" s="8">
        <v>0.75</v>
      </c>
    </row>
    <row r="123" spans="1:6" x14ac:dyDescent="0.2">
      <c r="A123" s="15">
        <v>19</v>
      </c>
      <c r="B123" s="9" t="s">
        <v>46</v>
      </c>
      <c r="C123" s="8">
        <v>43.1</v>
      </c>
      <c r="D123" s="9"/>
      <c r="E123" s="9"/>
      <c r="F123" s="8">
        <v>4.5</v>
      </c>
    </row>
    <row r="124" spans="1:6" x14ac:dyDescent="0.2">
      <c r="A124" s="15">
        <v>20</v>
      </c>
      <c r="B124" s="9" t="s">
        <v>47</v>
      </c>
      <c r="C124" s="8">
        <v>91</v>
      </c>
      <c r="D124" s="9"/>
      <c r="E124" s="9"/>
      <c r="F124" s="8">
        <v>14</v>
      </c>
    </row>
    <row r="125" spans="1:6" x14ac:dyDescent="0.2">
      <c r="A125" s="15">
        <v>21</v>
      </c>
      <c r="B125" s="5" t="s">
        <v>48</v>
      </c>
      <c r="C125" s="8">
        <v>11.5</v>
      </c>
      <c r="D125" s="9"/>
      <c r="E125" s="9"/>
      <c r="F125" s="8">
        <v>2.5</v>
      </c>
    </row>
    <row r="126" spans="1:6" x14ac:dyDescent="0.2">
      <c r="A126" s="15">
        <v>22</v>
      </c>
      <c r="B126" s="9" t="s">
        <v>49</v>
      </c>
      <c r="C126" s="8">
        <v>17.2</v>
      </c>
      <c r="D126" s="9"/>
      <c r="E126" s="9"/>
      <c r="F126" s="8">
        <v>3.2</v>
      </c>
    </row>
    <row r="127" spans="1:6" x14ac:dyDescent="0.2">
      <c r="A127" s="15">
        <v>23</v>
      </c>
      <c r="B127" s="9"/>
      <c r="C127" s="8">
        <v>22.5</v>
      </c>
      <c r="D127" s="9">
        <v>22</v>
      </c>
      <c r="E127" s="9">
        <v>105</v>
      </c>
      <c r="F127" s="8">
        <v>7</v>
      </c>
    </row>
    <row r="128" spans="1:6" x14ac:dyDescent="0.2">
      <c r="A128" s="15">
        <v>24</v>
      </c>
      <c r="B128" s="9" t="s">
        <v>50</v>
      </c>
      <c r="C128" s="8">
        <v>56.1</v>
      </c>
      <c r="D128" s="9"/>
      <c r="E128" s="9"/>
      <c r="F128" s="8">
        <v>10</v>
      </c>
    </row>
    <row r="129" spans="1:8" ht="15" thickBot="1" x14ac:dyDescent="0.25">
      <c r="A129" s="4">
        <v>1</v>
      </c>
      <c r="C129" s="8">
        <v>62.4</v>
      </c>
      <c r="D129" s="9">
        <v>55</v>
      </c>
      <c r="E129" s="9">
        <v>110</v>
      </c>
      <c r="F129" s="8">
        <v>8</v>
      </c>
      <c r="G129" s="10" t="s">
        <v>51</v>
      </c>
      <c r="H129" s="10" t="s">
        <v>52</v>
      </c>
    </row>
    <row r="130" spans="1:8" ht="15" thickTop="1" x14ac:dyDescent="0.2">
      <c r="A130" s="4">
        <v>2</v>
      </c>
      <c r="B130" s="5"/>
      <c r="C130" s="8">
        <v>16.100000000000001</v>
      </c>
      <c r="D130" s="9"/>
      <c r="E130" s="9"/>
      <c r="F130" s="8">
        <v>2.5</v>
      </c>
    </row>
    <row r="131" spans="1:8" x14ac:dyDescent="0.2">
      <c r="A131" s="4">
        <v>3</v>
      </c>
      <c r="B131" s="5"/>
      <c r="C131" s="8">
        <v>10</v>
      </c>
      <c r="D131" s="9"/>
      <c r="E131" s="9"/>
      <c r="F131" s="8">
        <v>3.25</v>
      </c>
    </row>
    <row r="132" spans="1:8" x14ac:dyDescent="0.2">
      <c r="A132" s="4">
        <v>4</v>
      </c>
      <c r="B132" s="5"/>
      <c r="C132" s="8">
        <v>72</v>
      </c>
      <c r="D132" s="9"/>
      <c r="E132" s="9"/>
      <c r="F132" s="8">
        <v>6</v>
      </c>
    </row>
    <row r="133" spans="1:8" x14ac:dyDescent="0.2">
      <c r="A133" s="4">
        <v>5</v>
      </c>
      <c r="C133" s="8">
        <v>69</v>
      </c>
      <c r="D133" s="9">
        <v>45</v>
      </c>
      <c r="E133" s="9">
        <v>120</v>
      </c>
      <c r="F133" s="8">
        <v>8.5</v>
      </c>
    </row>
    <row r="134" spans="1:8" x14ac:dyDescent="0.2">
      <c r="A134" s="4">
        <v>6</v>
      </c>
      <c r="B134" s="5"/>
      <c r="C134" s="8">
        <v>56.9</v>
      </c>
      <c r="D134" s="9">
        <v>30</v>
      </c>
      <c r="E134" s="9">
        <v>110</v>
      </c>
      <c r="F134" s="8">
        <v>7</v>
      </c>
    </row>
    <row r="135" spans="1:8" x14ac:dyDescent="0.2">
      <c r="A135" s="4">
        <v>7</v>
      </c>
      <c r="B135" s="5"/>
      <c r="C135" s="8">
        <v>11.9</v>
      </c>
      <c r="D135" s="9"/>
      <c r="E135" s="9"/>
      <c r="F135" s="8">
        <v>5</v>
      </c>
    </row>
    <row r="136" spans="1:8" x14ac:dyDescent="0.2">
      <c r="A136" s="4">
        <v>8</v>
      </c>
      <c r="C136" s="8">
        <v>29.1</v>
      </c>
      <c r="D136" s="9"/>
      <c r="E136" s="9"/>
      <c r="F136" s="8">
        <v>8.5</v>
      </c>
    </row>
    <row r="137" spans="1:8" x14ac:dyDescent="0.2">
      <c r="A137" s="4">
        <v>9</v>
      </c>
      <c r="B137" s="5"/>
      <c r="C137" s="8">
        <v>18.899999999999999</v>
      </c>
      <c r="D137" s="9"/>
      <c r="E137" s="9"/>
      <c r="F137" s="8">
        <v>5.5</v>
      </c>
    </row>
    <row r="138" spans="1:8" x14ac:dyDescent="0.2">
      <c r="A138" s="4">
        <v>10</v>
      </c>
      <c r="B138" s="5"/>
      <c r="C138" s="8">
        <v>13.8</v>
      </c>
      <c r="D138" s="9"/>
      <c r="E138" s="9"/>
      <c r="F138" s="8">
        <v>4.5</v>
      </c>
    </row>
    <row r="139" spans="1:8" x14ac:dyDescent="0.2">
      <c r="A139" s="4">
        <v>11</v>
      </c>
      <c r="B139" s="5"/>
      <c r="C139" s="8">
        <v>10.6</v>
      </c>
      <c r="D139" s="9"/>
      <c r="E139" s="9"/>
      <c r="F139" s="8">
        <v>2</v>
      </c>
    </row>
    <row r="140" spans="1:8" x14ac:dyDescent="0.2">
      <c r="A140" s="4">
        <v>12</v>
      </c>
      <c r="B140" s="5"/>
      <c r="C140" s="8">
        <v>30.5</v>
      </c>
      <c r="D140" s="9"/>
      <c r="E140" s="9"/>
      <c r="F140" s="8">
        <v>4.5999999999999996</v>
      </c>
    </row>
    <row r="141" spans="1:8" x14ac:dyDescent="0.2">
      <c r="A141" s="4">
        <v>13</v>
      </c>
      <c r="B141" s="5" t="s">
        <v>10</v>
      </c>
      <c r="C141" s="8">
        <v>45.2</v>
      </c>
      <c r="D141" s="9"/>
      <c r="E141" s="9"/>
      <c r="F141" s="8">
        <v>10</v>
      </c>
    </row>
    <row r="142" spans="1:8" x14ac:dyDescent="0.2">
      <c r="A142" s="4">
        <v>14</v>
      </c>
      <c r="B142" s="5"/>
      <c r="C142" s="8">
        <v>63.8</v>
      </c>
      <c r="D142" s="5"/>
      <c r="E142" s="5"/>
      <c r="F142" s="8">
        <v>8.5</v>
      </c>
    </row>
    <row r="143" spans="1:8" x14ac:dyDescent="0.2">
      <c r="A143" s="4">
        <v>15</v>
      </c>
      <c r="B143" s="5"/>
      <c r="C143" s="8">
        <v>10.5</v>
      </c>
      <c r="D143" s="5"/>
      <c r="E143" s="5"/>
      <c r="F143" s="8">
        <v>2</v>
      </c>
    </row>
    <row r="144" spans="1:8" x14ac:dyDescent="0.2">
      <c r="A144" s="13">
        <v>16</v>
      </c>
      <c r="B144" s="14"/>
      <c r="C144" s="8">
        <v>68.400000000000006</v>
      </c>
      <c r="D144" s="14"/>
      <c r="E144" s="14"/>
      <c r="F144" s="8">
        <v>6.5</v>
      </c>
    </row>
    <row r="145" spans="1:8" x14ac:dyDescent="0.2">
      <c r="A145" s="13">
        <v>17</v>
      </c>
      <c r="B145" s="5"/>
      <c r="C145" s="8">
        <v>27.9</v>
      </c>
      <c r="D145" s="5"/>
      <c r="E145" s="5"/>
      <c r="F145" s="8">
        <v>6</v>
      </c>
    </row>
    <row r="146" spans="1:8" x14ac:dyDescent="0.2">
      <c r="A146" s="15">
        <v>18</v>
      </c>
      <c r="B146" s="9" t="s">
        <v>53</v>
      </c>
      <c r="C146" s="8">
        <v>14.9</v>
      </c>
      <c r="D146" s="9"/>
      <c r="E146" s="9"/>
      <c r="F146" s="8">
        <v>3.5</v>
      </c>
    </row>
    <row r="147" spans="1:8" x14ac:dyDescent="0.2">
      <c r="A147" s="15">
        <v>19</v>
      </c>
      <c r="B147" s="9" t="s">
        <v>54</v>
      </c>
      <c r="C147" s="8">
        <v>25.7</v>
      </c>
      <c r="D147" s="9"/>
      <c r="E147" s="9"/>
      <c r="F147" s="8">
        <v>6.5</v>
      </c>
    </row>
    <row r="148" spans="1:8" x14ac:dyDescent="0.2">
      <c r="A148" s="15">
        <v>20</v>
      </c>
      <c r="B148" s="9"/>
      <c r="C148" s="8">
        <v>16.100000000000001</v>
      </c>
      <c r="D148" s="9"/>
      <c r="E148" s="9"/>
      <c r="F148" s="8">
        <v>3.5</v>
      </c>
    </row>
    <row r="149" spans="1:8" x14ac:dyDescent="0.2">
      <c r="A149" s="15">
        <v>21</v>
      </c>
      <c r="B149" s="5" t="s">
        <v>55</v>
      </c>
      <c r="C149" s="8">
        <v>12.2</v>
      </c>
      <c r="D149" s="9"/>
      <c r="E149" s="9"/>
      <c r="F149" s="8">
        <v>3</v>
      </c>
    </row>
    <row r="150" spans="1:8" x14ac:dyDescent="0.2">
      <c r="A150" s="4">
        <v>1</v>
      </c>
      <c r="C150" s="8">
        <v>76.8</v>
      </c>
      <c r="D150" s="9"/>
      <c r="E150" s="9"/>
      <c r="F150" s="8">
        <v>11</v>
      </c>
      <c r="G150" s="16" t="s">
        <v>5</v>
      </c>
      <c r="H150" s="16" t="s">
        <v>6</v>
      </c>
    </row>
    <row r="151" spans="1:8" ht="15" thickBot="1" x14ac:dyDescent="0.25">
      <c r="A151" s="4">
        <v>2</v>
      </c>
      <c r="B151" s="5"/>
      <c r="C151" s="8">
        <v>71.2</v>
      </c>
      <c r="D151" s="9"/>
      <c r="E151" s="9"/>
      <c r="F151" s="8">
        <v>16</v>
      </c>
      <c r="G151" s="10" t="s">
        <v>56</v>
      </c>
      <c r="H151" s="10" t="s">
        <v>57</v>
      </c>
    </row>
    <row r="152" spans="1:8" ht="15" thickTop="1" x14ac:dyDescent="0.2">
      <c r="A152" s="4">
        <v>3</v>
      </c>
      <c r="B152" s="5"/>
      <c r="C152" s="8">
        <v>12.1</v>
      </c>
      <c r="D152" s="9"/>
      <c r="E152" s="9"/>
      <c r="F152" s="8">
        <v>5</v>
      </c>
    </row>
    <row r="153" spans="1:8" x14ac:dyDescent="0.2">
      <c r="A153" s="4">
        <v>4</v>
      </c>
      <c r="B153" s="5"/>
      <c r="C153" s="8">
        <v>16.2</v>
      </c>
      <c r="D153" s="9"/>
      <c r="E153" s="9"/>
      <c r="F153" s="8">
        <v>4.5</v>
      </c>
    </row>
    <row r="154" spans="1:8" x14ac:dyDescent="0.2">
      <c r="A154" s="4">
        <v>5</v>
      </c>
      <c r="C154" s="8">
        <v>30.29</v>
      </c>
      <c r="D154" s="9"/>
      <c r="E154" s="9"/>
      <c r="F154" s="8">
        <v>6</v>
      </c>
    </row>
    <row r="155" spans="1:8" x14ac:dyDescent="0.2">
      <c r="A155" s="4">
        <v>6</v>
      </c>
      <c r="B155" s="5"/>
      <c r="C155" s="8">
        <v>26.2</v>
      </c>
      <c r="D155" s="9"/>
      <c r="E155" s="9"/>
      <c r="F155" s="8">
        <v>9</v>
      </c>
    </row>
    <row r="156" spans="1:8" x14ac:dyDescent="0.2">
      <c r="A156" s="4">
        <v>7</v>
      </c>
      <c r="B156" s="5"/>
      <c r="C156" s="8">
        <v>44.2</v>
      </c>
      <c r="D156" s="9"/>
      <c r="E156" s="9"/>
      <c r="F156" s="8">
        <v>6</v>
      </c>
    </row>
    <row r="157" spans="1:8" x14ac:dyDescent="0.2">
      <c r="A157" s="4">
        <v>8</v>
      </c>
      <c r="C157" s="8">
        <v>53</v>
      </c>
      <c r="D157" s="9">
        <v>55</v>
      </c>
      <c r="E157" s="9">
        <v>140</v>
      </c>
      <c r="F157" s="8">
        <v>9</v>
      </c>
    </row>
    <row r="158" spans="1:8" x14ac:dyDescent="0.2">
      <c r="A158" s="4">
        <v>9</v>
      </c>
      <c r="B158" s="5"/>
      <c r="C158" s="8">
        <v>22.8</v>
      </c>
      <c r="D158" s="9">
        <v>58</v>
      </c>
      <c r="E158" s="9">
        <v>145</v>
      </c>
      <c r="F158" s="8">
        <v>6</v>
      </c>
    </row>
    <row r="159" spans="1:8" x14ac:dyDescent="0.2">
      <c r="A159" s="4">
        <v>10</v>
      </c>
      <c r="B159" s="5"/>
      <c r="C159" s="8">
        <v>38.700000000000003</v>
      </c>
      <c r="D159" s="9"/>
      <c r="E159" s="9"/>
      <c r="F159" s="8">
        <v>12</v>
      </c>
    </row>
    <row r="160" spans="1:8" x14ac:dyDescent="0.2">
      <c r="A160" s="4">
        <v>11</v>
      </c>
      <c r="B160" s="5"/>
      <c r="C160" s="8">
        <v>13.9</v>
      </c>
      <c r="D160" s="9"/>
      <c r="E160" s="9"/>
      <c r="F160" s="8">
        <v>7</v>
      </c>
    </row>
    <row r="161" spans="1:8" x14ac:dyDescent="0.2">
      <c r="A161" s="4">
        <v>12</v>
      </c>
      <c r="B161" s="5"/>
      <c r="C161" s="8">
        <v>15.5</v>
      </c>
      <c r="D161" s="9"/>
      <c r="E161" s="9"/>
      <c r="F161" s="8">
        <v>7</v>
      </c>
    </row>
    <row r="162" spans="1:8" x14ac:dyDescent="0.2">
      <c r="A162" s="4">
        <v>13</v>
      </c>
      <c r="B162" s="5"/>
      <c r="C162" s="8">
        <v>13.1</v>
      </c>
      <c r="D162" s="9"/>
      <c r="E162" s="9"/>
      <c r="F162" s="8">
        <v>4</v>
      </c>
    </row>
    <row r="163" spans="1:8" x14ac:dyDescent="0.2">
      <c r="A163" s="4">
        <v>14</v>
      </c>
      <c r="B163" s="5"/>
      <c r="C163" s="8">
        <v>43.2</v>
      </c>
      <c r="D163" s="5">
        <v>43</v>
      </c>
      <c r="E163" s="5">
        <v>120</v>
      </c>
      <c r="F163" s="8">
        <v>5</v>
      </c>
    </row>
    <row r="164" spans="1:8" x14ac:dyDescent="0.2">
      <c r="A164" s="4">
        <v>15</v>
      </c>
      <c r="B164" s="5"/>
      <c r="C164" s="8">
        <v>26.8</v>
      </c>
      <c r="D164" s="5"/>
      <c r="E164" s="5"/>
      <c r="F164" s="8">
        <v>7</v>
      </c>
    </row>
    <row r="165" spans="1:8" x14ac:dyDescent="0.2">
      <c r="A165" s="13">
        <v>16</v>
      </c>
      <c r="B165" s="14"/>
      <c r="C165" s="8">
        <v>18</v>
      </c>
      <c r="D165" s="14"/>
      <c r="E165" s="14"/>
      <c r="F165" s="8">
        <v>8</v>
      </c>
    </row>
    <row r="166" spans="1:8" x14ac:dyDescent="0.2">
      <c r="A166" s="13">
        <v>17</v>
      </c>
      <c r="B166" s="5"/>
      <c r="C166" s="8">
        <v>11.9</v>
      </c>
      <c r="D166" s="5"/>
      <c r="E166" s="5"/>
      <c r="F166" s="8">
        <v>6</v>
      </c>
    </row>
    <row r="167" spans="1:8" x14ac:dyDescent="0.2">
      <c r="A167" s="15">
        <v>18</v>
      </c>
      <c r="B167" s="9"/>
      <c r="C167" s="8">
        <v>14.6</v>
      </c>
      <c r="D167" s="9"/>
      <c r="E167" s="9"/>
      <c r="F167" s="8">
        <v>4</v>
      </c>
    </row>
    <row r="168" spans="1:8" x14ac:dyDescent="0.2">
      <c r="A168" s="15">
        <v>19</v>
      </c>
      <c r="B168" s="9"/>
      <c r="C168" s="8">
        <v>32.299999999999997</v>
      </c>
      <c r="D168" s="9"/>
      <c r="E168" s="9"/>
      <c r="F168" s="8">
        <v>6</v>
      </c>
    </row>
    <row r="169" spans="1:8" x14ac:dyDescent="0.2">
      <c r="A169" s="15">
        <v>20</v>
      </c>
      <c r="B169" s="9"/>
      <c r="C169" s="8">
        <v>49.1</v>
      </c>
      <c r="D169" s="9"/>
      <c r="E169" s="9"/>
      <c r="F169" s="8">
        <v>9</v>
      </c>
    </row>
    <row r="170" spans="1:8" x14ac:dyDescent="0.2">
      <c r="A170" s="15">
        <v>21</v>
      </c>
      <c r="B170" s="5"/>
      <c r="C170" s="8">
        <v>23</v>
      </c>
      <c r="D170" s="9"/>
      <c r="E170" s="9"/>
      <c r="F170" s="8">
        <v>6.5</v>
      </c>
    </row>
    <row r="171" spans="1:8" ht="15" x14ac:dyDescent="0.25">
      <c r="A171" s="15">
        <v>22</v>
      </c>
      <c r="B171" s="11"/>
      <c r="C171" s="12">
        <v>15</v>
      </c>
      <c r="D171" s="11"/>
      <c r="E171" s="11"/>
      <c r="F171" s="12">
        <v>7.5</v>
      </c>
    </row>
    <row r="172" spans="1:8" x14ac:dyDescent="0.2">
      <c r="A172" s="4">
        <v>1</v>
      </c>
      <c r="C172" s="8">
        <v>51</v>
      </c>
      <c r="D172" s="9"/>
      <c r="E172" s="9"/>
      <c r="F172" s="8">
        <v>8</v>
      </c>
      <c r="G172" s="16" t="s">
        <v>5</v>
      </c>
      <c r="H172" s="16" t="s">
        <v>6</v>
      </c>
    </row>
    <row r="173" spans="1:8" ht="15" thickBot="1" x14ac:dyDescent="0.25">
      <c r="A173" s="4">
        <v>2</v>
      </c>
      <c r="B173" s="5"/>
      <c r="C173" s="8">
        <v>11.6</v>
      </c>
      <c r="D173" s="9"/>
      <c r="E173" s="9"/>
      <c r="F173" s="8">
        <v>3</v>
      </c>
      <c r="G173" s="10" t="s">
        <v>58</v>
      </c>
      <c r="H173" s="10" t="s">
        <v>59</v>
      </c>
    </row>
    <row r="174" spans="1:8" ht="15" thickTop="1" x14ac:dyDescent="0.2">
      <c r="A174" s="4">
        <v>3</v>
      </c>
      <c r="B174" s="5"/>
      <c r="C174" s="8">
        <v>13.5</v>
      </c>
      <c r="D174" s="9"/>
      <c r="E174" s="9"/>
      <c r="F174" s="8">
        <v>3.5</v>
      </c>
    </row>
    <row r="175" spans="1:8" x14ac:dyDescent="0.2">
      <c r="A175" s="4">
        <v>4</v>
      </c>
      <c r="B175" s="9" t="s">
        <v>53</v>
      </c>
      <c r="C175" s="8">
        <v>17.3</v>
      </c>
      <c r="D175" s="9">
        <v>30</v>
      </c>
      <c r="E175" s="9">
        <v>50</v>
      </c>
      <c r="F175" s="8">
        <v>4.5</v>
      </c>
    </row>
    <row r="176" spans="1:8" x14ac:dyDescent="0.2">
      <c r="A176" s="4">
        <v>5</v>
      </c>
      <c r="B176" s="1" t="s">
        <v>60</v>
      </c>
      <c r="C176" s="8">
        <v>68</v>
      </c>
      <c r="D176" s="9">
        <v>30</v>
      </c>
      <c r="E176" s="9">
        <v>140</v>
      </c>
      <c r="F176" s="8">
        <v>6</v>
      </c>
    </row>
    <row r="177" spans="1:8" x14ac:dyDescent="0.2">
      <c r="A177" s="4">
        <v>6</v>
      </c>
      <c r="B177" s="5"/>
      <c r="C177" s="8">
        <v>83.8</v>
      </c>
      <c r="D177" s="9"/>
      <c r="E177" s="9"/>
      <c r="F177" s="8">
        <v>7</v>
      </c>
    </row>
    <row r="178" spans="1:8" x14ac:dyDescent="0.2">
      <c r="A178" s="4">
        <v>7</v>
      </c>
      <c r="B178" s="5" t="s">
        <v>10</v>
      </c>
      <c r="C178" s="8">
        <v>54</v>
      </c>
      <c r="D178" s="9">
        <v>30</v>
      </c>
      <c r="E178" s="9">
        <v>125</v>
      </c>
      <c r="F178" s="8">
        <v>10</v>
      </c>
    </row>
    <row r="179" spans="1:8" x14ac:dyDescent="0.2">
      <c r="A179" s="4">
        <v>8</v>
      </c>
      <c r="C179" s="8">
        <v>49.6</v>
      </c>
      <c r="D179" s="9"/>
      <c r="E179" s="9"/>
      <c r="F179" s="8">
        <v>5</v>
      </c>
    </row>
    <row r="180" spans="1:8" x14ac:dyDescent="0.2">
      <c r="A180" s="4">
        <v>9</v>
      </c>
      <c r="B180" s="5"/>
      <c r="C180" s="8">
        <v>14.6</v>
      </c>
      <c r="D180" s="9"/>
      <c r="E180" s="9"/>
      <c r="F180" s="8">
        <v>5.5</v>
      </c>
    </row>
    <row r="181" spans="1:8" x14ac:dyDescent="0.2">
      <c r="A181" s="4">
        <v>10</v>
      </c>
      <c r="B181" s="5"/>
      <c r="C181" s="8">
        <v>15.9</v>
      </c>
      <c r="D181" s="9"/>
      <c r="E181" s="9"/>
      <c r="F181" s="8">
        <v>5</v>
      </c>
    </row>
    <row r="182" spans="1:8" x14ac:dyDescent="0.2">
      <c r="A182" s="4">
        <v>11</v>
      </c>
      <c r="B182" s="5"/>
      <c r="C182" s="8">
        <v>11.7</v>
      </c>
      <c r="D182" s="9"/>
      <c r="E182" s="9"/>
      <c r="F182" s="8">
        <v>5</v>
      </c>
    </row>
    <row r="183" spans="1:8" x14ac:dyDescent="0.2">
      <c r="A183" s="4">
        <v>12</v>
      </c>
      <c r="B183" s="5"/>
      <c r="C183" s="8">
        <v>115.9</v>
      </c>
      <c r="D183" s="9"/>
      <c r="E183" s="9"/>
      <c r="F183" s="8">
        <v>12</v>
      </c>
    </row>
    <row r="184" spans="1:8" x14ac:dyDescent="0.2">
      <c r="A184" s="4">
        <v>13</v>
      </c>
      <c r="B184" s="5" t="s">
        <v>61</v>
      </c>
      <c r="C184" s="8">
        <v>72</v>
      </c>
      <c r="D184" s="9"/>
      <c r="E184" s="9"/>
      <c r="F184" s="8">
        <v>8</v>
      </c>
    </row>
    <row r="185" spans="1:8" x14ac:dyDescent="0.2">
      <c r="A185" s="4">
        <v>14</v>
      </c>
      <c r="B185" s="5"/>
      <c r="C185" s="8">
        <v>36.299999999999997</v>
      </c>
      <c r="D185" s="5"/>
      <c r="E185" s="5"/>
      <c r="F185" s="8">
        <v>9.5</v>
      </c>
    </row>
    <row r="186" spans="1:8" x14ac:dyDescent="0.2">
      <c r="A186" s="4">
        <v>15</v>
      </c>
      <c r="B186" s="5"/>
      <c r="C186" s="8">
        <v>10</v>
      </c>
      <c r="D186" s="5"/>
      <c r="E186" s="5"/>
      <c r="F186" s="8">
        <v>4</v>
      </c>
    </row>
    <row r="187" spans="1:8" x14ac:dyDescent="0.2">
      <c r="A187" s="13">
        <v>16</v>
      </c>
      <c r="B187" s="14"/>
      <c r="C187" s="8">
        <v>13.5</v>
      </c>
      <c r="D187" s="14"/>
      <c r="E187" s="14"/>
      <c r="F187" s="8">
        <v>5.5</v>
      </c>
    </row>
    <row r="188" spans="1:8" x14ac:dyDescent="0.2">
      <c r="A188" s="13">
        <v>17</v>
      </c>
      <c r="B188" s="5"/>
      <c r="C188" s="8">
        <v>78</v>
      </c>
      <c r="D188" s="5"/>
      <c r="E188" s="5"/>
      <c r="F188" s="8">
        <v>11</v>
      </c>
    </row>
    <row r="189" spans="1:8" x14ac:dyDescent="0.2">
      <c r="A189" s="4">
        <v>1</v>
      </c>
      <c r="C189" s="8">
        <v>78</v>
      </c>
      <c r="D189" s="9">
        <v>70</v>
      </c>
      <c r="E189" s="9">
        <v>130</v>
      </c>
      <c r="F189" s="8">
        <v>4.5</v>
      </c>
      <c r="G189" s="16" t="s">
        <v>5</v>
      </c>
      <c r="H189" s="16" t="s">
        <v>6</v>
      </c>
    </row>
    <row r="190" spans="1:8" ht="15" thickBot="1" x14ac:dyDescent="0.25">
      <c r="A190" s="4">
        <v>2</v>
      </c>
      <c r="B190" s="5"/>
      <c r="C190" s="8">
        <v>29</v>
      </c>
      <c r="D190" s="9">
        <v>50</v>
      </c>
      <c r="E190" s="9">
        <v>100</v>
      </c>
      <c r="F190" s="8">
        <v>4</v>
      </c>
      <c r="G190" s="10" t="s">
        <v>62</v>
      </c>
      <c r="H190" s="10" t="s">
        <v>7</v>
      </c>
    </row>
    <row r="191" spans="1:8" ht="15" thickTop="1" x14ac:dyDescent="0.2">
      <c r="A191" s="4">
        <v>3</v>
      </c>
      <c r="B191" s="5"/>
      <c r="C191" s="8">
        <v>60</v>
      </c>
      <c r="D191" s="9">
        <v>75</v>
      </c>
      <c r="E191" s="9">
        <v>84</v>
      </c>
      <c r="F191" s="8">
        <v>7</v>
      </c>
    </row>
    <row r="192" spans="1:8" x14ac:dyDescent="0.2">
      <c r="A192" s="4">
        <v>4</v>
      </c>
      <c r="B192" s="9"/>
      <c r="C192" s="8">
        <v>33</v>
      </c>
      <c r="D192" s="9">
        <v>95</v>
      </c>
      <c r="E192" s="9">
        <v>110</v>
      </c>
      <c r="F192" s="8">
        <v>3</v>
      </c>
    </row>
    <row r="193" spans="1:8" x14ac:dyDescent="0.2">
      <c r="A193" s="4">
        <v>5</v>
      </c>
      <c r="C193" s="8">
        <v>75</v>
      </c>
      <c r="D193" s="9">
        <v>90</v>
      </c>
      <c r="E193" s="9">
        <v>140</v>
      </c>
      <c r="F193" s="8">
        <v>3</v>
      </c>
    </row>
    <row r="194" spans="1:8" x14ac:dyDescent="0.2">
      <c r="A194" s="4">
        <v>6</v>
      </c>
      <c r="B194" s="5"/>
      <c r="C194" s="8">
        <v>25</v>
      </c>
      <c r="D194" s="9">
        <v>70</v>
      </c>
      <c r="E194" s="9">
        <v>45</v>
      </c>
      <c r="F194" s="8">
        <v>1.7</v>
      </c>
    </row>
    <row r="195" spans="1:8" x14ac:dyDescent="0.2">
      <c r="A195" s="4">
        <v>7</v>
      </c>
      <c r="B195" s="5"/>
      <c r="C195" s="8">
        <v>23.5</v>
      </c>
      <c r="D195" s="9">
        <v>75</v>
      </c>
      <c r="E195" s="9">
        <v>110</v>
      </c>
      <c r="F195" s="8">
        <v>1.75</v>
      </c>
    </row>
    <row r="196" spans="1:8" x14ac:dyDescent="0.2">
      <c r="A196" s="4">
        <v>8</v>
      </c>
      <c r="C196" s="8">
        <v>13.5</v>
      </c>
      <c r="D196" s="9">
        <v>60</v>
      </c>
      <c r="E196" s="9">
        <v>45</v>
      </c>
      <c r="F196" s="8">
        <v>1.5</v>
      </c>
    </row>
    <row r="197" spans="1:8" x14ac:dyDescent="0.2">
      <c r="A197" s="4">
        <v>9</v>
      </c>
      <c r="B197" s="5"/>
      <c r="C197" s="8">
        <v>25</v>
      </c>
      <c r="D197" s="9">
        <v>50</v>
      </c>
      <c r="E197" s="9">
        <v>90</v>
      </c>
      <c r="F197" s="8">
        <v>4.5</v>
      </c>
    </row>
    <row r="198" spans="1:8" x14ac:dyDescent="0.2">
      <c r="A198" s="4">
        <v>1</v>
      </c>
      <c r="B198" s="1" t="s">
        <v>65</v>
      </c>
      <c r="C198" s="8">
        <v>55</v>
      </c>
      <c r="D198" s="9">
        <v>90</v>
      </c>
      <c r="E198" s="9">
        <v>110</v>
      </c>
      <c r="F198" s="8">
        <v>4</v>
      </c>
      <c r="G198" s="16" t="s">
        <v>5</v>
      </c>
      <c r="H198" s="16" t="s">
        <v>6</v>
      </c>
    </row>
    <row r="199" spans="1:8" ht="15" thickBot="1" x14ac:dyDescent="0.25">
      <c r="A199" s="4">
        <v>2</v>
      </c>
      <c r="B199" s="5" t="s">
        <v>66</v>
      </c>
      <c r="C199" s="8">
        <v>35</v>
      </c>
      <c r="D199" s="9">
        <v>90</v>
      </c>
      <c r="E199" s="9">
        <v>70</v>
      </c>
      <c r="F199" s="8">
        <v>2</v>
      </c>
      <c r="G199" s="10" t="s">
        <v>63</v>
      </c>
      <c r="H199" s="10" t="s">
        <v>64</v>
      </c>
    </row>
    <row r="200" spans="1:8" ht="15" thickTop="1" x14ac:dyDescent="0.2">
      <c r="A200" s="4">
        <v>3</v>
      </c>
      <c r="B200" s="5" t="s">
        <v>35</v>
      </c>
      <c r="C200" s="8">
        <v>30</v>
      </c>
      <c r="D200" s="9">
        <v>90</v>
      </c>
      <c r="E200" s="9">
        <v>30</v>
      </c>
      <c r="F200" s="8">
        <v>1</v>
      </c>
    </row>
    <row r="201" spans="1:8" x14ac:dyDescent="0.2">
      <c r="A201" s="4">
        <v>4</v>
      </c>
      <c r="B201" s="9"/>
      <c r="C201" s="8">
        <v>12</v>
      </c>
      <c r="D201" s="9">
        <v>10</v>
      </c>
      <c r="E201" s="9">
        <v>20</v>
      </c>
      <c r="F201" s="8">
        <v>1</v>
      </c>
    </row>
    <row r="202" spans="1:8" x14ac:dyDescent="0.2">
      <c r="A202" s="4">
        <v>5</v>
      </c>
      <c r="B202" s="5"/>
      <c r="C202" s="8">
        <v>45</v>
      </c>
      <c r="D202" s="9">
        <v>110</v>
      </c>
      <c r="E202" s="9">
        <v>60</v>
      </c>
      <c r="F202" s="8">
        <v>3</v>
      </c>
    </row>
    <row r="203" spans="1:8" x14ac:dyDescent="0.2">
      <c r="A203" s="4">
        <v>1</v>
      </c>
      <c r="C203" s="8">
        <v>45</v>
      </c>
      <c r="D203" s="9">
        <v>80</v>
      </c>
      <c r="E203" s="9">
        <v>120</v>
      </c>
      <c r="F203" s="8">
        <v>3</v>
      </c>
      <c r="G203" s="16" t="s">
        <v>5</v>
      </c>
      <c r="H203" s="16" t="s">
        <v>6</v>
      </c>
    </row>
    <row r="204" spans="1:8" ht="15" thickBot="1" x14ac:dyDescent="0.25">
      <c r="A204" s="4">
        <v>2</v>
      </c>
      <c r="B204" s="5"/>
      <c r="C204" s="8">
        <v>30</v>
      </c>
      <c r="D204" s="9">
        <v>90</v>
      </c>
      <c r="E204" s="9">
        <v>70</v>
      </c>
      <c r="F204" s="8">
        <v>3</v>
      </c>
      <c r="G204" s="10" t="s">
        <v>67</v>
      </c>
      <c r="H204" s="10" t="s">
        <v>68</v>
      </c>
    </row>
    <row r="205" spans="1:8" ht="15" thickTop="1" x14ac:dyDescent="0.2">
      <c r="A205" s="4">
        <v>3</v>
      </c>
      <c r="B205" s="5"/>
      <c r="C205" s="8">
        <v>28</v>
      </c>
      <c r="D205" s="9">
        <v>70</v>
      </c>
      <c r="E205" s="9">
        <v>90</v>
      </c>
      <c r="F205" s="8">
        <v>3</v>
      </c>
    </row>
    <row r="206" spans="1:8" x14ac:dyDescent="0.2">
      <c r="A206" s="4">
        <v>4</v>
      </c>
      <c r="B206" s="9"/>
      <c r="C206" s="8">
        <v>45</v>
      </c>
      <c r="D206" s="9">
        <v>62</v>
      </c>
      <c r="E206" s="9">
        <v>65</v>
      </c>
      <c r="F206" s="8">
        <v>6</v>
      </c>
    </row>
    <row r="207" spans="1:8" x14ac:dyDescent="0.2">
      <c r="A207" s="4">
        <v>5</v>
      </c>
      <c r="C207" s="8">
        <v>43</v>
      </c>
      <c r="D207" s="9">
        <v>110</v>
      </c>
      <c r="E207" s="9">
        <v>90</v>
      </c>
      <c r="F207" s="8">
        <v>3</v>
      </c>
    </row>
    <row r="208" spans="1:8" x14ac:dyDescent="0.2">
      <c r="A208" s="4">
        <v>6</v>
      </c>
      <c r="B208" s="5"/>
      <c r="C208" s="8">
        <v>43</v>
      </c>
      <c r="D208" s="9">
        <v>75</v>
      </c>
      <c r="E208" s="9">
        <v>120</v>
      </c>
      <c r="F208" s="8">
        <v>4.5</v>
      </c>
    </row>
    <row r="209" spans="1:8" x14ac:dyDescent="0.2">
      <c r="A209" s="4">
        <v>1</v>
      </c>
      <c r="C209" s="8">
        <v>29</v>
      </c>
      <c r="D209" s="9">
        <v>100</v>
      </c>
      <c r="E209" s="9">
        <v>40</v>
      </c>
      <c r="F209" s="8">
        <v>2</v>
      </c>
      <c r="G209" s="16" t="s">
        <v>5</v>
      </c>
      <c r="H209" s="16" t="s">
        <v>6</v>
      </c>
    </row>
    <row r="210" spans="1:8" ht="15" thickBot="1" x14ac:dyDescent="0.25">
      <c r="A210" s="4">
        <v>2</v>
      </c>
      <c r="B210" s="5"/>
      <c r="C210" s="8">
        <v>50</v>
      </c>
      <c r="D210" s="9">
        <v>110</v>
      </c>
      <c r="E210" s="9">
        <v>60</v>
      </c>
      <c r="F210" s="8">
        <v>6</v>
      </c>
      <c r="G210" s="10" t="s">
        <v>81</v>
      </c>
      <c r="H210" s="10" t="s">
        <v>69</v>
      </c>
    </row>
    <row r="211" spans="1:8" ht="15" thickTop="1" x14ac:dyDescent="0.2">
      <c r="A211" s="4">
        <v>3</v>
      </c>
      <c r="B211" s="5"/>
      <c r="C211" s="8">
        <v>18</v>
      </c>
      <c r="D211" s="9">
        <v>90</v>
      </c>
      <c r="E211" s="9">
        <v>20</v>
      </c>
      <c r="F211" s="8">
        <v>1</v>
      </c>
    </row>
    <row r="212" spans="1:8" x14ac:dyDescent="0.2">
      <c r="A212" s="4">
        <v>4</v>
      </c>
      <c r="B212" s="9"/>
      <c r="C212" s="8">
        <v>65</v>
      </c>
      <c r="D212" s="9">
        <v>70</v>
      </c>
      <c r="E212" s="9">
        <v>100</v>
      </c>
      <c r="F212" s="8">
        <v>6.5</v>
      </c>
    </row>
    <row r="213" spans="1:8" x14ac:dyDescent="0.2">
      <c r="A213" s="4">
        <v>5</v>
      </c>
      <c r="C213" s="8">
        <v>18</v>
      </c>
      <c r="D213" s="9">
        <v>75</v>
      </c>
      <c r="E213" s="9">
        <v>100</v>
      </c>
      <c r="F213" s="8">
        <v>3</v>
      </c>
    </row>
    <row r="214" spans="1:8" x14ac:dyDescent="0.2">
      <c r="A214" s="4">
        <v>6</v>
      </c>
      <c r="B214" s="5"/>
      <c r="C214" s="8">
        <v>38.5</v>
      </c>
      <c r="D214" s="9">
        <v>70</v>
      </c>
      <c r="E214" s="9">
        <v>50</v>
      </c>
      <c r="F214" s="8">
        <v>2</v>
      </c>
    </row>
    <row r="215" spans="1:8" x14ac:dyDescent="0.2">
      <c r="A215" s="4">
        <v>7</v>
      </c>
      <c r="B215" s="5"/>
      <c r="C215" s="8">
        <v>22.5</v>
      </c>
      <c r="D215" s="9">
        <v>80</v>
      </c>
      <c r="E215" s="9">
        <v>50</v>
      </c>
      <c r="F215" s="8">
        <v>1.5</v>
      </c>
    </row>
    <row r="216" spans="1:8" x14ac:dyDescent="0.2">
      <c r="A216" s="4">
        <v>1</v>
      </c>
      <c r="B216" s="5" t="s">
        <v>35</v>
      </c>
      <c r="C216" s="8">
        <v>15</v>
      </c>
      <c r="D216" s="9">
        <v>65</v>
      </c>
      <c r="E216" s="9">
        <v>40</v>
      </c>
      <c r="F216" s="8">
        <v>1.5</v>
      </c>
      <c r="G216" s="16" t="s">
        <v>5</v>
      </c>
      <c r="H216" s="16" t="s">
        <v>6</v>
      </c>
    </row>
    <row r="217" spans="1:8" ht="15" thickBot="1" x14ac:dyDescent="0.25">
      <c r="A217" s="4">
        <v>2</v>
      </c>
      <c r="B217" s="5" t="s">
        <v>72</v>
      </c>
      <c r="C217" s="8">
        <v>18</v>
      </c>
      <c r="D217" s="9">
        <v>70</v>
      </c>
      <c r="E217" s="9">
        <v>45</v>
      </c>
      <c r="F217" s="8">
        <v>2.5</v>
      </c>
      <c r="G217" s="10" t="s">
        <v>70</v>
      </c>
      <c r="H217" s="10" t="s">
        <v>71</v>
      </c>
    </row>
    <row r="218" spans="1:8" ht="15" thickTop="1" x14ac:dyDescent="0.2">
      <c r="A218" s="4">
        <v>3</v>
      </c>
      <c r="B218" s="5" t="s">
        <v>73</v>
      </c>
      <c r="C218" s="8">
        <v>22.5</v>
      </c>
      <c r="D218" s="9">
        <v>60</v>
      </c>
      <c r="E218" s="9">
        <v>50</v>
      </c>
      <c r="F218" s="8">
        <v>2.6</v>
      </c>
    </row>
    <row r="219" spans="1:8" x14ac:dyDescent="0.2">
      <c r="A219" s="4">
        <v>4</v>
      </c>
      <c r="B219" s="9"/>
      <c r="C219" s="8">
        <v>12</v>
      </c>
      <c r="D219" s="9">
        <v>60</v>
      </c>
      <c r="E219" s="9">
        <v>55</v>
      </c>
      <c r="F219" s="8">
        <v>1.75</v>
      </c>
    </row>
    <row r="220" spans="1:8" x14ac:dyDescent="0.2">
      <c r="A220" s="4">
        <v>5</v>
      </c>
      <c r="C220" s="8">
        <v>22.5</v>
      </c>
      <c r="D220" s="9">
        <v>55</v>
      </c>
      <c r="E220" s="9">
        <v>50</v>
      </c>
      <c r="F220" s="8">
        <v>4</v>
      </c>
    </row>
    <row r="221" spans="1:8" x14ac:dyDescent="0.2">
      <c r="A221" s="4">
        <v>6</v>
      </c>
      <c r="B221" s="5"/>
      <c r="C221" s="8">
        <v>37</v>
      </c>
      <c r="D221" s="9">
        <v>45</v>
      </c>
      <c r="E221" s="9">
        <v>90</v>
      </c>
      <c r="F221" s="8">
        <v>7</v>
      </c>
    </row>
    <row r="222" spans="1:8" x14ac:dyDescent="0.2">
      <c r="A222" s="4">
        <v>1</v>
      </c>
      <c r="B222" s="1" t="s">
        <v>76</v>
      </c>
      <c r="C222" s="8">
        <v>52</v>
      </c>
      <c r="D222" s="9">
        <v>35</v>
      </c>
      <c r="E222" s="9">
        <v>140</v>
      </c>
      <c r="F222" s="8">
        <v>9</v>
      </c>
      <c r="G222" s="16" t="s">
        <v>5</v>
      </c>
      <c r="H222" s="16" t="s">
        <v>6</v>
      </c>
    </row>
    <row r="223" spans="1:8" ht="15" thickBot="1" x14ac:dyDescent="0.25">
      <c r="A223" s="4">
        <v>2</v>
      </c>
      <c r="B223" s="5" t="s">
        <v>35</v>
      </c>
      <c r="C223" s="8">
        <v>22.5</v>
      </c>
      <c r="D223" s="9">
        <v>30</v>
      </c>
      <c r="E223" s="9">
        <v>80</v>
      </c>
      <c r="F223" s="8">
        <v>4</v>
      </c>
      <c r="G223" s="10" t="s">
        <v>74</v>
      </c>
      <c r="H223" s="10" t="s">
        <v>75</v>
      </c>
    </row>
    <row r="224" spans="1:8" ht="15" thickTop="1" x14ac:dyDescent="0.2">
      <c r="A224" s="4">
        <v>3</v>
      </c>
      <c r="B224" s="5" t="s">
        <v>35</v>
      </c>
      <c r="C224" s="8">
        <v>23</v>
      </c>
      <c r="D224" s="9">
        <v>25</v>
      </c>
      <c r="E224" s="9">
        <v>80</v>
      </c>
      <c r="F224" s="8">
        <v>3</v>
      </c>
    </row>
    <row r="225" spans="1:8" x14ac:dyDescent="0.2">
      <c r="A225" s="4">
        <v>4</v>
      </c>
      <c r="B225" s="9"/>
      <c r="C225" s="8">
        <v>17.5</v>
      </c>
      <c r="D225" s="9">
        <v>35</v>
      </c>
      <c r="E225" s="9">
        <v>70</v>
      </c>
      <c r="F225" s="8">
        <v>3</v>
      </c>
    </row>
    <row r="226" spans="1:8" x14ac:dyDescent="0.2">
      <c r="A226" s="4">
        <v>5</v>
      </c>
      <c r="C226" s="8">
        <v>70</v>
      </c>
      <c r="D226" s="9">
        <v>35</v>
      </c>
      <c r="E226" s="9">
        <v>140</v>
      </c>
      <c r="F226" s="8">
        <v>7</v>
      </c>
    </row>
    <row r="227" spans="1:8" x14ac:dyDescent="0.2">
      <c r="A227" s="4">
        <v>6</v>
      </c>
      <c r="B227" s="5"/>
      <c r="C227" s="8">
        <v>80</v>
      </c>
      <c r="D227" s="9">
        <v>25</v>
      </c>
      <c r="E227" s="9">
        <v>130</v>
      </c>
      <c r="F227" s="8">
        <v>7</v>
      </c>
    </row>
    <row r="228" spans="1:8" x14ac:dyDescent="0.2">
      <c r="A228" s="4">
        <v>7</v>
      </c>
      <c r="B228" s="5"/>
      <c r="C228" s="8">
        <v>17.3</v>
      </c>
      <c r="D228" s="9">
        <v>25</v>
      </c>
      <c r="E228" s="9">
        <v>40</v>
      </c>
      <c r="F228" s="8">
        <v>2.2999999999999998</v>
      </c>
    </row>
    <row r="229" spans="1:8" x14ac:dyDescent="0.2">
      <c r="A229" s="4">
        <v>8</v>
      </c>
      <c r="B229" s="5"/>
      <c r="C229" s="8">
        <v>90</v>
      </c>
      <c r="D229" s="9">
        <v>25</v>
      </c>
      <c r="E229" s="9">
        <v>140</v>
      </c>
      <c r="F229" s="8">
        <v>8</v>
      </c>
    </row>
    <row r="230" spans="1:8" x14ac:dyDescent="0.2">
      <c r="A230" s="4">
        <v>1</v>
      </c>
      <c r="C230" s="8">
        <v>90</v>
      </c>
      <c r="D230" s="9">
        <v>100</v>
      </c>
      <c r="E230" s="9">
        <v>140</v>
      </c>
      <c r="F230" s="8">
        <v>6</v>
      </c>
      <c r="G230" s="16" t="s">
        <v>5</v>
      </c>
      <c r="H230" s="16" t="s">
        <v>6</v>
      </c>
    </row>
    <row r="231" spans="1:8" ht="15" thickBot="1" x14ac:dyDescent="0.25">
      <c r="A231" s="4">
        <v>2</v>
      </c>
      <c r="B231" s="5"/>
      <c r="C231" s="8">
        <v>43.5</v>
      </c>
      <c r="D231" s="9">
        <v>90</v>
      </c>
      <c r="E231" s="9">
        <v>60</v>
      </c>
      <c r="F231" s="8">
        <v>3.5</v>
      </c>
      <c r="G231" s="10" t="s">
        <v>77</v>
      </c>
      <c r="H231" s="10" t="s">
        <v>78</v>
      </c>
    </row>
    <row r="232" spans="1:8" ht="15" thickTop="1" x14ac:dyDescent="0.2">
      <c r="A232" s="4">
        <v>3</v>
      </c>
      <c r="B232" s="5"/>
      <c r="C232" s="8">
        <v>38</v>
      </c>
      <c r="D232" s="9">
        <v>90</v>
      </c>
      <c r="E232" s="9">
        <v>50</v>
      </c>
      <c r="F232" s="8">
        <v>3.5</v>
      </c>
    </row>
    <row r="233" spans="1:8" x14ac:dyDescent="0.2">
      <c r="A233" s="4">
        <v>4</v>
      </c>
      <c r="B233" s="9"/>
      <c r="C233" s="8">
        <v>13.5</v>
      </c>
      <c r="D233" s="9">
        <v>80</v>
      </c>
      <c r="E233" s="9">
        <v>20</v>
      </c>
      <c r="F233" s="8">
        <v>2</v>
      </c>
    </row>
  </sheetData>
  <mergeCells count="1">
    <mergeCell ref="D1:E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3"/>
  <sheetViews>
    <sheetView topLeftCell="V1" zoomScale="110" zoomScaleNormal="110" workbookViewId="0">
      <selection activeCell="AK2" sqref="AK2"/>
    </sheetView>
  </sheetViews>
  <sheetFormatPr baseColWidth="10" defaultColWidth="9.140625" defaultRowHeight="14.25" x14ac:dyDescent="0.2"/>
  <cols>
    <col min="1" max="1" width="10.28515625" style="1" bestFit="1" customWidth="1"/>
    <col min="2" max="2" width="13.28515625" style="1" bestFit="1" customWidth="1"/>
    <col min="3" max="3" width="19.42578125" style="1" bestFit="1" customWidth="1"/>
    <col min="4" max="4" width="13.85546875" style="1" bestFit="1" customWidth="1"/>
    <col min="5" max="6" width="11.42578125" style="1" customWidth="1"/>
    <col min="7" max="7" width="19.7109375" style="1" bestFit="1" customWidth="1"/>
    <col min="8" max="8" width="20.7109375" style="1" bestFit="1" customWidth="1"/>
    <col min="9" max="10" width="11.7109375" style="1" bestFit="1" customWidth="1"/>
    <col min="11" max="11" width="8.28515625" style="1" bestFit="1" customWidth="1"/>
    <col min="12" max="12" width="3.85546875" style="1" bestFit="1" customWidth="1"/>
    <col min="13" max="13" width="4.5703125" style="1" bestFit="1" customWidth="1"/>
    <col min="14" max="14" width="12.28515625" style="1" bestFit="1" customWidth="1"/>
    <col min="15" max="15" width="3.7109375" style="1" bestFit="1" customWidth="1"/>
    <col min="16" max="16" width="3.85546875" style="1" bestFit="1" customWidth="1"/>
    <col min="17" max="17" width="4.5703125" style="1" bestFit="1" customWidth="1"/>
    <col min="18" max="18" width="12.28515625" style="1" bestFit="1" customWidth="1"/>
    <col min="19" max="20" width="9.140625" style="1"/>
    <col min="21" max="21" width="19.42578125" style="1" bestFit="1" customWidth="1"/>
    <col min="22" max="22" width="11.85546875" style="1" customWidth="1"/>
    <col min="23" max="23" width="9.140625" style="1"/>
    <col min="24" max="24" width="16.140625" style="1" customWidth="1"/>
    <col min="25" max="25" width="15.5703125" style="1" customWidth="1"/>
    <col min="26" max="26" width="20.85546875" style="1" bestFit="1" customWidth="1"/>
    <col min="27" max="27" width="14.28515625" style="1" bestFit="1" customWidth="1"/>
    <col min="28" max="28" width="18.7109375" style="1" customWidth="1"/>
    <col min="29" max="30" width="9.140625" style="1"/>
    <col min="31" max="31" width="11.7109375" style="1" customWidth="1"/>
    <col min="32" max="32" width="11.85546875" style="1" bestFit="1" customWidth="1"/>
    <col min="33" max="35" width="9.140625" style="1"/>
    <col min="36" max="36" width="11.28515625" style="1" customWidth="1"/>
    <col min="37" max="38" width="9.140625" style="1"/>
    <col min="39" max="39" width="13.28515625" style="1" bestFit="1" customWidth="1"/>
    <col min="40" max="16384" width="9.140625" style="1"/>
  </cols>
  <sheetData>
    <row r="1" spans="1:42" s="3" customFormat="1" ht="20.25" customHeight="1" x14ac:dyDescent="0.2">
      <c r="A1" s="23" t="s">
        <v>82</v>
      </c>
      <c r="B1" s="33" t="s">
        <v>0</v>
      </c>
      <c r="C1" s="33" t="s">
        <v>1</v>
      </c>
      <c r="D1" s="33" t="s">
        <v>2</v>
      </c>
      <c r="E1" s="49" t="s">
        <v>115</v>
      </c>
      <c r="F1" s="49" t="s">
        <v>116</v>
      </c>
      <c r="G1" s="33" t="s">
        <v>91</v>
      </c>
      <c r="H1" s="33" t="str">
        <f>'1BASE'!F1</f>
        <v>Crown diam. (m)</v>
      </c>
      <c r="I1" s="22" t="str">
        <f>'1BASE'!G1</f>
        <v>X</v>
      </c>
      <c r="J1" s="22" t="str">
        <f>'1BASE'!H1</f>
        <v>Y</v>
      </c>
      <c r="K1" s="33" t="s">
        <v>83</v>
      </c>
      <c r="L1" s="33" t="s">
        <v>84</v>
      </c>
      <c r="M1" s="33" t="s">
        <v>85</v>
      </c>
      <c r="N1" s="33" t="s">
        <v>89</v>
      </c>
      <c r="O1" s="33" t="s">
        <v>86</v>
      </c>
      <c r="P1" s="33" t="s">
        <v>87</v>
      </c>
      <c r="Q1" s="33" t="s">
        <v>88</v>
      </c>
      <c r="R1" s="23" t="s">
        <v>90</v>
      </c>
      <c r="S1" s="23" t="s">
        <v>92</v>
      </c>
      <c r="T1" s="23" t="s">
        <v>93</v>
      </c>
      <c r="U1" s="3" t="s">
        <v>94</v>
      </c>
      <c r="V1" s="51" t="s">
        <v>95</v>
      </c>
      <c r="W1" s="48" t="s">
        <v>114</v>
      </c>
      <c r="X1" s="48" t="s">
        <v>117</v>
      </c>
      <c r="Y1" s="48" t="s">
        <v>118</v>
      </c>
      <c r="Z1" s="48" t="str">
        <f>+"TEST_"&amp;Y1</f>
        <v>TEST_TEST_DAP≥10cm</v>
      </c>
      <c r="AA1" s="48" t="s">
        <v>119</v>
      </c>
      <c r="AB1" s="48" t="s">
        <v>162</v>
      </c>
      <c r="AC1" s="48" t="s">
        <v>120</v>
      </c>
      <c r="AD1" s="48" t="str">
        <f>+AC1&amp;"_ha"</f>
        <v>AB_ha</v>
      </c>
      <c r="AE1" s="53" t="s">
        <v>121</v>
      </c>
      <c r="AF1" s="53" t="s">
        <v>122</v>
      </c>
      <c r="AG1" s="53" t="str">
        <f>+"tC"</f>
        <v>tC</v>
      </c>
      <c r="AH1" s="53" t="s">
        <v>123</v>
      </c>
      <c r="AI1" s="54" t="s">
        <v>124</v>
      </c>
      <c r="AJ1" s="54" t="s">
        <v>125</v>
      </c>
      <c r="AK1" s="54" t="str">
        <f>"tCE"</f>
        <v>tCE</v>
      </c>
      <c r="AL1" s="54" t="s">
        <v>126</v>
      </c>
      <c r="AM1" s="54" t="s">
        <v>127</v>
      </c>
      <c r="AO1" s="54" t="s">
        <v>161</v>
      </c>
      <c r="AP1" s="54">
        <f>+COUNTA(AM2:AM233)</f>
        <v>232</v>
      </c>
    </row>
    <row r="2" spans="1:42" ht="15" x14ac:dyDescent="0.25">
      <c r="A2" s="24">
        <v>1</v>
      </c>
      <c r="B2" s="25">
        <f>'1BASE'!A2</f>
        <v>1</v>
      </c>
      <c r="C2" s="24" t="str">
        <f>'1BASE'!B2</f>
        <v>Sapotὁn</v>
      </c>
      <c r="D2" s="26">
        <f>'1BASE'!C2</f>
        <v>142</v>
      </c>
      <c r="E2" s="27">
        <f>'1BASE'!D2</f>
        <v>50</v>
      </c>
      <c r="F2" s="27">
        <f>'1BASE'!E2</f>
        <v>110</v>
      </c>
      <c r="G2" s="32">
        <f>(TAN(RADIANS(E2))*20)+(TAN(RADIANS(F2))*20)</f>
        <v>-31.114476537208247</v>
      </c>
      <c r="H2" s="26">
        <f>'1BASE'!F2</f>
        <v>10</v>
      </c>
      <c r="I2" s="22" t="str">
        <f>'1BASE'!G2</f>
        <v>88° 38' 54.7''</v>
      </c>
      <c r="J2" s="22" t="str">
        <f>'1BASE'!H2</f>
        <v>15° 41' 7.5''</v>
      </c>
      <c r="K2" s="24" t="str">
        <f>LEFT(I2,2)</f>
        <v>88</v>
      </c>
      <c r="L2" s="24" t="str">
        <f>+LEFT(RIGHT(I2,10),2)</f>
        <v>38</v>
      </c>
      <c r="M2" s="24" t="str">
        <f>+LEFT(RIGHT(I2,6),4)</f>
        <v>54.7</v>
      </c>
      <c r="N2" s="24">
        <f>(K2+((L2+(M2/60)/60)/60))*-1</f>
        <v>-88.633586574074073</v>
      </c>
      <c r="O2" s="24" t="str">
        <f>LEFT(J2,2)</f>
        <v>15</v>
      </c>
      <c r="P2" s="24" t="str">
        <f>+LEFT(RIGHT(J2,9),2)</f>
        <v>41</v>
      </c>
      <c r="Q2" s="24" t="str">
        <f>+LEFT(RIGHT(J2,6),4)</f>
        <v xml:space="preserve"> 7.5</v>
      </c>
      <c r="R2" s="24">
        <f>O2+((P2+(Q2/60)/60)/60)</f>
        <v>15.683368055555556</v>
      </c>
      <c r="S2" s="11">
        <v>700072.38227299997</v>
      </c>
      <c r="T2" s="11">
        <v>1735139.8652300001</v>
      </c>
      <c r="U2" s="1" t="s">
        <v>96</v>
      </c>
      <c r="V2" s="11">
        <v>0.05</v>
      </c>
      <c r="W2" s="1">
        <f>+INICIO!$C$34</f>
        <v>2014</v>
      </c>
      <c r="X2" s="1" t="str">
        <f>+INICIO!$B$32</f>
        <v>LATIFOLIADO</v>
      </c>
      <c r="Y2" s="50" t="str">
        <f>+IF(D2&gt;=10,"DEJAR","DEPURAR")</f>
        <v>DEJAR</v>
      </c>
      <c r="Z2" s="50" t="str">
        <f>+IF(OR(G2&gt;=5,G2=0,G2&lt;=0),"DEJAR","DEPURAR")</f>
        <v>DEJAR</v>
      </c>
      <c r="AA2" s="50" t="str">
        <f>+IF(AND(Y2="DEJAR"),"DEJAR","DEPURAR")</f>
        <v>DEJAR</v>
      </c>
      <c r="AB2" s="50" t="str">
        <f>+IF(AND(Y2="DEJAR"),"DEJAR","DEPURAR")</f>
        <v>DEJAR</v>
      </c>
      <c r="AC2" s="52">
        <f>+PI()/4*(POWER((D2/100),2))</f>
        <v>1.5836768566746147</v>
      </c>
      <c r="AD2" s="52">
        <f>+AC2/V2</f>
        <v>31.673537133492292</v>
      </c>
      <c r="AE2" s="52">
        <f>+IF(X2=INICIO!$B$31,0.15991*D2^2.32764,AND(X2=INICIO!$B$32)*0.13657*D2^2.38351)</f>
        <v>18422.819672392496</v>
      </c>
      <c r="AF2" s="52">
        <f>+AE2*1/V2</f>
        <v>368456.3934478499</v>
      </c>
      <c r="AG2" s="52">
        <f>+AE2/1000*INICIO!$D$50</f>
        <v>8.6587252460244724</v>
      </c>
      <c r="AH2" s="52">
        <f>+AF2/1000*INICIO!$D$50</f>
        <v>173.17450492048945</v>
      </c>
      <c r="AI2" s="55">
        <f>+IF(X2=INICIO!$B$31,IF(D2&lt;=82,0.15991*D2^2.32764, 0.15991*82^2.32764),AND(X2=INICIO!$B$32)*IF(D2&lt;=79.9,0.13657*D2^2.38351,0.13657*79.9^2.38351))</f>
        <v>4678.370186681871</v>
      </c>
      <c r="AJ2" s="56">
        <f>+AI2*1/V2</f>
        <v>93567.403733637417</v>
      </c>
      <c r="AK2" s="56">
        <f>+AI2/1000*INICIO!$D$50</f>
        <v>2.1988339877404792</v>
      </c>
      <c r="AL2" s="56">
        <f>+AJ2/1000*INICIO!$D$50</f>
        <v>43.976679754809588</v>
      </c>
      <c r="AM2" s="57" t="str">
        <f>+INICIO!$C$30</f>
        <v>UVG_B_Kg</v>
      </c>
    </row>
    <row r="3" spans="1:42" ht="15" x14ac:dyDescent="0.25">
      <c r="A3" s="24">
        <v>1</v>
      </c>
      <c r="B3" s="25">
        <f>'1BASE'!A3</f>
        <v>2</v>
      </c>
      <c r="C3" s="24">
        <f>'1BASE'!B3</f>
        <v>0</v>
      </c>
      <c r="D3" s="26">
        <f>'1BASE'!C3</f>
        <v>31.15</v>
      </c>
      <c r="E3" s="27">
        <f>'1BASE'!D3</f>
        <v>55</v>
      </c>
      <c r="F3" s="27">
        <f>'1BASE'!E3</f>
        <v>80</v>
      </c>
      <c r="G3" s="27">
        <f>(TAN(RADIANS(E3))*20)+(TAN(RADIANS(F3))*20)</f>
        <v>141.98859652719642</v>
      </c>
      <c r="H3" s="26">
        <f>'1BASE'!F3</f>
        <v>0</v>
      </c>
      <c r="I3" s="28">
        <f>'1BASE'!G3</f>
        <v>0</v>
      </c>
      <c r="J3" s="28">
        <f>'1BASE'!H3</f>
        <v>0</v>
      </c>
      <c r="K3" s="24"/>
      <c r="L3" s="24"/>
      <c r="M3" s="24"/>
      <c r="N3" s="24"/>
      <c r="O3" s="24"/>
      <c r="P3" s="24"/>
      <c r="Q3" s="24"/>
      <c r="R3" s="24"/>
      <c r="S3" s="5"/>
      <c r="T3" s="5"/>
      <c r="U3" s="1" t="s">
        <v>96</v>
      </c>
      <c r="V3" s="11">
        <v>0.05</v>
      </c>
      <c r="W3" s="1">
        <f>+INICIO!$C$34</f>
        <v>2014</v>
      </c>
      <c r="X3" s="1" t="str">
        <f>+INICIO!$B$32</f>
        <v>LATIFOLIADO</v>
      </c>
      <c r="Y3" s="50" t="str">
        <f t="shared" ref="Y3:Y66" si="0">+IF(D3&gt;=10,"DEJAR","DEPURAR")</f>
        <v>DEJAR</v>
      </c>
      <c r="Z3" s="50" t="str">
        <f t="shared" ref="Z3:Z66" si="1">+IF(OR(G3&gt;=5,G3=0,G3&lt;=0),"DEJAR","DEPURAR")</f>
        <v>DEJAR</v>
      </c>
      <c r="AA3" s="50" t="str">
        <f t="shared" ref="AA3:AA66" si="2">+IF(AND(Y3="DEJAR"),"DEJAR","DEPURAR")</f>
        <v>DEJAR</v>
      </c>
      <c r="AB3" s="50" t="str">
        <f t="shared" ref="AB3:AB66" si="3">+IF(AND(Y3="DEJAR"),"DEJAR","DEPURAR")</f>
        <v>DEJAR</v>
      </c>
      <c r="AC3" s="52">
        <f t="shared" ref="AC3:AC66" si="4">+PI()/4*(POWER((D3/100),2))</f>
        <v>7.6208950940322054E-2</v>
      </c>
      <c r="AD3" s="52">
        <f t="shared" ref="AD3:AD66" si="5">+AC3/V3</f>
        <v>1.524179018806441</v>
      </c>
      <c r="AE3" s="52">
        <f>+IF(X3=INICIO!$B$31,0.15991*D3^2.32764,AND(X3=INICIO!$B$32)*0.13657*D3^2.38351)</f>
        <v>495.48157398321587</v>
      </c>
      <c r="AF3" s="52">
        <f t="shared" ref="AF3:AF66" si="6">+AE3*1/V3</f>
        <v>9909.6314796643164</v>
      </c>
      <c r="AG3" s="52">
        <f>+AE3/1000*INICIO!$D$50</f>
        <v>0.23287633977211145</v>
      </c>
      <c r="AH3" s="52">
        <f>+AF3/1000*INICIO!$D$50</f>
        <v>4.6575267954422284</v>
      </c>
      <c r="AI3" s="55">
        <f>+IF(X3=INICIO!$B$31,IF(D3&lt;=82,0.15991*D3^2.32764, 0.15991*82^2.32764),AND(X3=INICIO!$B$32)*IF(D3&lt;=79.9,0.13657*D3^2.38351,0.13657*79.9^2.38351))</f>
        <v>495.48157398321587</v>
      </c>
      <c r="AJ3" s="56">
        <f t="shared" ref="AJ3:AJ66" si="7">+AI3*1/V3</f>
        <v>9909.6314796643164</v>
      </c>
      <c r="AK3" s="56">
        <f>+AI3/1000*INICIO!$D$50</f>
        <v>0.23287633977211145</v>
      </c>
      <c r="AL3" s="56">
        <f>+AJ3/1000*INICIO!$D$50</f>
        <v>4.6575267954422284</v>
      </c>
      <c r="AM3" s="57" t="str">
        <f>+INICIO!$C$30</f>
        <v>UVG_B_Kg</v>
      </c>
    </row>
    <row r="4" spans="1:42" ht="15" x14ac:dyDescent="0.25">
      <c r="A4" s="24">
        <v>1</v>
      </c>
      <c r="B4" s="25">
        <f>'1BASE'!A4</f>
        <v>3</v>
      </c>
      <c r="C4" s="24">
        <f>'1BASE'!B4</f>
        <v>0</v>
      </c>
      <c r="D4" s="26">
        <f>'1BASE'!C4</f>
        <v>20.5</v>
      </c>
      <c r="E4" s="27">
        <f>'1BASE'!D4</f>
        <v>60</v>
      </c>
      <c r="F4" s="27">
        <f>'1BASE'!E4</f>
        <v>103</v>
      </c>
      <c r="G4" s="32">
        <f>(TAN(RADIANS(E4))*20)+(TAN(RADIANS(F4))*20)</f>
        <v>-51.98850133430556</v>
      </c>
      <c r="H4" s="26">
        <f>'1BASE'!F4</f>
        <v>0</v>
      </c>
      <c r="I4" s="28">
        <f>'1BASE'!G4</f>
        <v>0</v>
      </c>
      <c r="J4" s="28">
        <f>'1BASE'!H4</f>
        <v>0</v>
      </c>
      <c r="K4" s="24"/>
      <c r="L4" s="24"/>
      <c r="M4" s="24"/>
      <c r="N4" s="24"/>
      <c r="O4" s="24"/>
      <c r="P4" s="24"/>
      <c r="Q4" s="24"/>
      <c r="R4" s="24"/>
      <c r="S4" s="5"/>
      <c r="T4" s="5"/>
      <c r="U4" s="1" t="s">
        <v>96</v>
      </c>
      <c r="V4" s="11">
        <v>0.05</v>
      </c>
      <c r="W4" s="1">
        <f>+INICIO!$C$34</f>
        <v>2014</v>
      </c>
      <c r="X4" s="1" t="str">
        <f>+INICIO!$B$32</f>
        <v>LATIFOLIADO</v>
      </c>
      <c r="Y4" s="50" t="str">
        <f t="shared" si="0"/>
        <v>DEJAR</v>
      </c>
      <c r="Z4" s="50" t="str">
        <f t="shared" si="1"/>
        <v>DEJAR</v>
      </c>
      <c r="AA4" s="50" t="str">
        <f t="shared" si="2"/>
        <v>DEJAR</v>
      </c>
      <c r="AB4" s="50" t="str">
        <f t="shared" si="3"/>
        <v>DEJAR</v>
      </c>
      <c r="AC4" s="52">
        <f t="shared" si="4"/>
        <v>3.3006357816777757E-2</v>
      </c>
      <c r="AD4" s="52">
        <f t="shared" si="5"/>
        <v>0.66012715633555508</v>
      </c>
      <c r="AE4" s="52">
        <f>+IF(X4=INICIO!$B$31,0.15991*D4^2.32764,AND(X4=INICIO!$B$32)*0.13657*D4^2.38351)</f>
        <v>182.78213876481104</v>
      </c>
      <c r="AF4" s="52">
        <f t="shared" si="6"/>
        <v>3655.6427752962204</v>
      </c>
      <c r="AG4" s="52">
        <f>+AE4/1000*INICIO!$D$50</f>
        <v>8.5907605219461183E-2</v>
      </c>
      <c r="AH4" s="52">
        <f>+AF4/1000*INICIO!$D$50</f>
        <v>1.7181521043892234</v>
      </c>
      <c r="AI4" s="55">
        <f>+IF(X4=INICIO!$B$31,IF(D4&lt;=82,0.15991*D4^2.32764, 0.15991*82^2.32764),AND(X4=INICIO!$B$32)*IF(D4&lt;=79.9,0.13657*D4^2.38351,0.13657*79.9^2.38351))</f>
        <v>182.78213876481104</v>
      </c>
      <c r="AJ4" s="56">
        <f t="shared" si="7"/>
        <v>3655.6427752962204</v>
      </c>
      <c r="AK4" s="56">
        <f>+AI4/1000*INICIO!$D$50</f>
        <v>8.5907605219461183E-2</v>
      </c>
      <c r="AL4" s="56">
        <f>+AJ4/1000*INICIO!$D$50</f>
        <v>1.7181521043892234</v>
      </c>
      <c r="AM4" s="57" t="str">
        <f>+INICIO!$C$30</f>
        <v>UVG_B_Kg</v>
      </c>
    </row>
    <row r="5" spans="1:42" ht="15" x14ac:dyDescent="0.25">
      <c r="A5" s="24">
        <v>1</v>
      </c>
      <c r="B5" s="25">
        <f>'1BASE'!A5</f>
        <v>4</v>
      </c>
      <c r="C5" s="24">
        <f>'1BASE'!B5</f>
        <v>0</v>
      </c>
      <c r="D5" s="26">
        <f>'1BASE'!C5</f>
        <v>17</v>
      </c>
      <c r="E5" s="27">
        <f>'1BASE'!D5</f>
        <v>0</v>
      </c>
      <c r="F5" s="27">
        <f>'1BASE'!E5</f>
        <v>0</v>
      </c>
      <c r="G5" s="27"/>
      <c r="H5" s="26">
        <f>'1BASE'!F5</f>
        <v>0</v>
      </c>
      <c r="I5" s="28">
        <f>'1BASE'!G5</f>
        <v>0</v>
      </c>
      <c r="J5" s="28">
        <f>'1BASE'!H5</f>
        <v>0</v>
      </c>
      <c r="K5" s="24"/>
      <c r="L5" s="24"/>
      <c r="M5" s="24"/>
      <c r="N5" s="24"/>
      <c r="O5" s="24"/>
      <c r="P5" s="24"/>
      <c r="Q5" s="24"/>
      <c r="R5" s="24"/>
      <c r="S5" s="5"/>
      <c r="T5" s="5"/>
      <c r="U5" s="1" t="s">
        <v>96</v>
      </c>
      <c r="V5" s="11">
        <v>0.05</v>
      </c>
      <c r="W5" s="1">
        <f>+INICIO!$C$34</f>
        <v>2014</v>
      </c>
      <c r="X5" s="1" t="str">
        <f>+INICIO!$B$32</f>
        <v>LATIFOLIADO</v>
      </c>
      <c r="Y5" s="50" t="str">
        <f t="shared" si="0"/>
        <v>DEJAR</v>
      </c>
      <c r="Z5" s="50" t="str">
        <f t="shared" si="1"/>
        <v>DEJAR</v>
      </c>
      <c r="AA5" s="50" t="str">
        <f t="shared" si="2"/>
        <v>DEJAR</v>
      </c>
      <c r="AB5" s="50" t="str">
        <f t="shared" si="3"/>
        <v>DEJAR</v>
      </c>
      <c r="AC5" s="52">
        <f t="shared" si="4"/>
        <v>2.2698006922186261E-2</v>
      </c>
      <c r="AD5" s="52">
        <f t="shared" si="5"/>
        <v>0.45396013844372518</v>
      </c>
      <c r="AE5" s="52">
        <f>+IF(X5=INICIO!$B$31,0.15991*D5^2.32764,AND(X5=INICIO!$B$32)*0.13657*D5^2.38351)</f>
        <v>116.98835060940742</v>
      </c>
      <c r="AF5" s="52">
        <f t="shared" si="6"/>
        <v>2339.7670121881483</v>
      </c>
      <c r="AG5" s="52">
        <f>+AE5/1000*INICIO!$D$50</f>
        <v>5.4984524786421483E-2</v>
      </c>
      <c r="AH5" s="52">
        <f>+AF5/1000*INICIO!$D$50</f>
        <v>1.0996904957284297</v>
      </c>
      <c r="AI5" s="55">
        <f>+IF(X5=INICIO!$B$31,IF(D5&lt;=82,0.15991*D5^2.32764, 0.15991*82^2.32764),AND(X5=INICIO!$B$32)*IF(D5&lt;=79.9,0.13657*D5^2.38351,0.13657*79.9^2.38351))</f>
        <v>116.98835060940742</v>
      </c>
      <c r="AJ5" s="56">
        <f t="shared" si="7"/>
        <v>2339.7670121881483</v>
      </c>
      <c r="AK5" s="56">
        <f>+AI5/1000*INICIO!$D$50</f>
        <v>5.4984524786421483E-2</v>
      </c>
      <c r="AL5" s="56">
        <f>+AJ5/1000*INICIO!$D$50</f>
        <v>1.0996904957284297</v>
      </c>
      <c r="AM5" s="57" t="str">
        <f>+INICIO!$C$30</f>
        <v>UVG_B_Kg</v>
      </c>
    </row>
    <row r="6" spans="1:42" ht="15" x14ac:dyDescent="0.25">
      <c r="A6" s="24">
        <v>1</v>
      </c>
      <c r="B6" s="25">
        <f>'1BASE'!A6</f>
        <v>5</v>
      </c>
      <c r="C6" s="24">
        <f>'1BASE'!B6</f>
        <v>0</v>
      </c>
      <c r="D6" s="26">
        <f>'1BASE'!C6</f>
        <v>13.5</v>
      </c>
      <c r="E6" s="27">
        <f>'1BASE'!D6</f>
        <v>0</v>
      </c>
      <c r="F6" s="27">
        <f>'1BASE'!E6</f>
        <v>0</v>
      </c>
      <c r="G6" s="27"/>
      <c r="H6" s="26">
        <f>'1BASE'!F6</f>
        <v>0</v>
      </c>
      <c r="I6" s="28">
        <f>'1BASE'!G6</f>
        <v>0</v>
      </c>
      <c r="J6" s="28">
        <f>'1BASE'!H6</f>
        <v>0</v>
      </c>
      <c r="K6" s="24"/>
      <c r="L6" s="24"/>
      <c r="M6" s="24"/>
      <c r="N6" s="24"/>
      <c r="O6" s="24"/>
      <c r="P6" s="24"/>
      <c r="Q6" s="24"/>
      <c r="R6" s="24"/>
      <c r="S6" s="5"/>
      <c r="T6" s="5"/>
      <c r="U6" s="1" t="s">
        <v>96</v>
      </c>
      <c r="V6" s="11">
        <v>0.05</v>
      </c>
      <c r="W6" s="1">
        <f>+INICIO!$C$34</f>
        <v>2014</v>
      </c>
      <c r="X6" s="1" t="str">
        <f>+INICIO!$B$32</f>
        <v>LATIFOLIADO</v>
      </c>
      <c r="Y6" s="50" t="str">
        <f t="shared" si="0"/>
        <v>DEJAR</v>
      </c>
      <c r="Z6" s="50" t="str">
        <f t="shared" si="1"/>
        <v>DEJAR</v>
      </c>
      <c r="AA6" s="50" t="str">
        <f t="shared" si="2"/>
        <v>DEJAR</v>
      </c>
      <c r="AB6" s="50" t="str">
        <f t="shared" si="3"/>
        <v>DEJAR</v>
      </c>
      <c r="AC6" s="52">
        <f t="shared" si="4"/>
        <v>1.4313881527918496E-2</v>
      </c>
      <c r="AD6" s="52">
        <f t="shared" si="5"/>
        <v>0.28627763055836991</v>
      </c>
      <c r="AE6" s="52">
        <f>+IF(X6=INICIO!$B$31,0.15991*D6^2.32764,AND(X6=INICIO!$B$32)*0.13657*D6^2.38351)</f>
        <v>67.533172179763213</v>
      </c>
      <c r="AF6" s="52">
        <f t="shared" si="6"/>
        <v>1350.6634435952642</v>
      </c>
      <c r="AG6" s="52">
        <f>+AE6/1000*INICIO!$D$50</f>
        <v>3.1740590924488707E-2</v>
      </c>
      <c r="AH6" s="52">
        <f>+AF6/1000*INICIO!$D$50</f>
        <v>0.63481181848977419</v>
      </c>
      <c r="AI6" s="55">
        <f>+IF(X6=INICIO!$B$31,IF(D6&lt;=82,0.15991*D6^2.32764, 0.15991*82^2.32764),AND(X6=INICIO!$B$32)*IF(D6&lt;=79.9,0.13657*D6^2.38351,0.13657*79.9^2.38351))</f>
        <v>67.533172179763213</v>
      </c>
      <c r="AJ6" s="56">
        <f t="shared" si="7"/>
        <v>1350.6634435952642</v>
      </c>
      <c r="AK6" s="56">
        <f>+AI6/1000*INICIO!$D$50</f>
        <v>3.1740590924488707E-2</v>
      </c>
      <c r="AL6" s="56">
        <f>+AJ6/1000*INICIO!$D$50</f>
        <v>0.63481181848977419</v>
      </c>
      <c r="AM6" s="57" t="str">
        <f>+INICIO!$C$30</f>
        <v>UVG_B_Kg</v>
      </c>
    </row>
    <row r="7" spans="1:42" ht="15" x14ac:dyDescent="0.25">
      <c r="A7" s="24">
        <v>1</v>
      </c>
      <c r="B7" s="25">
        <f>'1BASE'!A7</f>
        <v>6</v>
      </c>
      <c r="C7" s="24">
        <f>'1BASE'!B7</f>
        <v>0</v>
      </c>
      <c r="D7" s="26">
        <f>'1BASE'!C7</f>
        <v>135</v>
      </c>
      <c r="E7" s="27">
        <f>'1BASE'!D7</f>
        <v>0</v>
      </c>
      <c r="F7" s="27">
        <f>'1BASE'!E7</f>
        <v>0</v>
      </c>
      <c r="G7" s="27"/>
      <c r="H7" s="26">
        <f>'1BASE'!F7</f>
        <v>0</v>
      </c>
      <c r="I7" s="28">
        <f>'1BASE'!G7</f>
        <v>0</v>
      </c>
      <c r="J7" s="28">
        <f>'1BASE'!H7</f>
        <v>0</v>
      </c>
      <c r="K7" s="24"/>
      <c r="L7" s="24"/>
      <c r="M7" s="24"/>
      <c r="N7" s="24"/>
      <c r="O7" s="24"/>
      <c r="P7" s="24"/>
      <c r="Q7" s="24"/>
      <c r="R7" s="24"/>
      <c r="S7" s="5"/>
      <c r="T7" s="5"/>
      <c r="U7" s="1" t="s">
        <v>96</v>
      </c>
      <c r="V7" s="11">
        <v>0.05</v>
      </c>
      <c r="W7" s="1">
        <f>+INICIO!$C$34</f>
        <v>2014</v>
      </c>
      <c r="X7" s="1" t="str">
        <f>+INICIO!$B$32</f>
        <v>LATIFOLIADO</v>
      </c>
      <c r="Y7" s="50" t="str">
        <f t="shared" si="0"/>
        <v>DEJAR</v>
      </c>
      <c r="Z7" s="50" t="str">
        <f t="shared" si="1"/>
        <v>DEJAR</v>
      </c>
      <c r="AA7" s="50" t="str">
        <f t="shared" si="2"/>
        <v>DEJAR</v>
      </c>
      <c r="AB7" s="50" t="str">
        <f t="shared" si="3"/>
        <v>DEJAR</v>
      </c>
      <c r="AC7" s="52">
        <f t="shared" si="4"/>
        <v>1.4313881527918497</v>
      </c>
      <c r="AD7" s="52">
        <f t="shared" si="5"/>
        <v>28.627763055836994</v>
      </c>
      <c r="AE7" s="52">
        <f>+IF(X7=INICIO!$B$31,0.15991*D7^2.32764,AND(X7=INICIO!$B$32)*0.13657*D7^2.38351)</f>
        <v>16331.54041458762</v>
      </c>
      <c r="AF7" s="52">
        <f t="shared" si="6"/>
        <v>326630.80829175236</v>
      </c>
      <c r="AG7" s="52">
        <f>+AE7/1000*INICIO!$D$50</f>
        <v>7.6758239948561817</v>
      </c>
      <c r="AH7" s="52">
        <f>+AF7/1000*INICIO!$D$50</f>
        <v>153.51647989712362</v>
      </c>
      <c r="AI7" s="55">
        <f>+IF(X7=INICIO!$B$31,IF(D7&lt;=82,0.15991*D7^2.32764, 0.15991*82^2.32764),AND(X7=INICIO!$B$32)*IF(D7&lt;=79.9,0.13657*D7^2.38351,0.13657*79.9^2.38351))</f>
        <v>4678.370186681871</v>
      </c>
      <c r="AJ7" s="56">
        <f t="shared" si="7"/>
        <v>93567.403733637417</v>
      </c>
      <c r="AK7" s="56">
        <f>+AI7/1000*INICIO!$D$50</f>
        <v>2.1988339877404792</v>
      </c>
      <c r="AL7" s="56">
        <f>+AJ7/1000*INICIO!$D$50</f>
        <v>43.976679754809588</v>
      </c>
      <c r="AM7" s="57" t="str">
        <f>+INICIO!$C$30</f>
        <v>UVG_B_Kg</v>
      </c>
    </row>
    <row r="8" spans="1:42" ht="15" x14ac:dyDescent="0.25">
      <c r="A8" s="24">
        <v>1</v>
      </c>
      <c r="B8" s="25">
        <f>'1BASE'!A8</f>
        <v>7</v>
      </c>
      <c r="C8" s="24">
        <f>'1BASE'!B8</f>
        <v>0</v>
      </c>
      <c r="D8" s="26">
        <f>'1BASE'!C8</f>
        <v>37</v>
      </c>
      <c r="E8" s="27">
        <f>'1BASE'!D8</f>
        <v>0</v>
      </c>
      <c r="F8" s="27">
        <f>'1BASE'!E8</f>
        <v>0</v>
      </c>
      <c r="G8" s="27"/>
      <c r="H8" s="26">
        <f>'1BASE'!F8</f>
        <v>0</v>
      </c>
      <c r="I8" s="28">
        <f>'1BASE'!G8</f>
        <v>0</v>
      </c>
      <c r="J8" s="28">
        <f>'1BASE'!H8</f>
        <v>0</v>
      </c>
      <c r="K8" s="24"/>
      <c r="L8" s="24"/>
      <c r="M8" s="24"/>
      <c r="N8" s="24"/>
      <c r="O8" s="24"/>
      <c r="P8" s="24"/>
      <c r="Q8" s="24"/>
      <c r="R8" s="24"/>
      <c r="S8" s="5"/>
      <c r="T8" s="5"/>
      <c r="U8" s="1" t="s">
        <v>96</v>
      </c>
      <c r="V8" s="11">
        <v>0.05</v>
      </c>
      <c r="W8" s="1">
        <f>+INICIO!$C$34</f>
        <v>2014</v>
      </c>
      <c r="X8" s="1" t="str">
        <f>+INICIO!$B$32</f>
        <v>LATIFOLIADO</v>
      </c>
      <c r="Y8" s="50" t="str">
        <f t="shared" si="0"/>
        <v>DEJAR</v>
      </c>
      <c r="Z8" s="50" t="str">
        <f t="shared" si="1"/>
        <v>DEJAR</v>
      </c>
      <c r="AA8" s="50" t="str">
        <f t="shared" si="2"/>
        <v>DEJAR</v>
      </c>
      <c r="AB8" s="50" t="str">
        <f t="shared" si="3"/>
        <v>DEJAR</v>
      </c>
      <c r="AC8" s="52">
        <f t="shared" si="4"/>
        <v>0.10752100856911066</v>
      </c>
      <c r="AD8" s="52">
        <f t="shared" si="5"/>
        <v>2.1504201713822133</v>
      </c>
      <c r="AE8" s="52">
        <f>+IF(X8=INICIO!$B$31,0.15991*D8^2.32764,AND(X8=INICIO!$B$32)*0.13657*D8^2.38351)</f>
        <v>746.75785703016243</v>
      </c>
      <c r="AF8" s="52">
        <f t="shared" si="6"/>
        <v>14935.157140603247</v>
      </c>
      <c r="AG8" s="52">
        <f>+AE8/1000*INICIO!$D$50</f>
        <v>0.3509761928041763</v>
      </c>
      <c r="AH8" s="52">
        <f>+AF8/1000*INICIO!$D$50</f>
        <v>7.0195238560835254</v>
      </c>
      <c r="AI8" s="55">
        <f>+IF(X8=INICIO!$B$31,IF(D8&lt;=82,0.15991*D8^2.32764, 0.15991*82^2.32764),AND(X8=INICIO!$B$32)*IF(D8&lt;=79.9,0.13657*D8^2.38351,0.13657*79.9^2.38351))</f>
        <v>746.75785703016243</v>
      </c>
      <c r="AJ8" s="56">
        <f t="shared" si="7"/>
        <v>14935.157140603247</v>
      </c>
      <c r="AK8" s="56">
        <f>+AI8/1000*INICIO!$D$50</f>
        <v>0.3509761928041763</v>
      </c>
      <c r="AL8" s="56">
        <f>+AJ8/1000*INICIO!$D$50</f>
        <v>7.0195238560835254</v>
      </c>
      <c r="AM8" s="57" t="str">
        <f>+INICIO!$C$30</f>
        <v>UVG_B_Kg</v>
      </c>
    </row>
    <row r="9" spans="1:42" ht="15" x14ac:dyDescent="0.25">
      <c r="A9" s="24">
        <v>1</v>
      </c>
      <c r="B9" s="25">
        <f>'1BASE'!A9</f>
        <v>8</v>
      </c>
      <c r="C9" s="24" t="str">
        <f>'1BASE'!B9</f>
        <v>Rahatebien</v>
      </c>
      <c r="D9" s="26">
        <f>'1BASE'!C9</f>
        <v>86</v>
      </c>
      <c r="E9" s="27">
        <f>'1BASE'!D9</f>
        <v>60</v>
      </c>
      <c r="F9" s="27">
        <f>'1BASE'!E9</f>
        <v>90</v>
      </c>
      <c r="G9" s="32">
        <f>(TAN(RADIANS(E9))*20)+(TAN(RADIANS(F9))*20)</f>
        <v>3.264910455523815E+17</v>
      </c>
      <c r="H9" s="26">
        <f>'1BASE'!F9</f>
        <v>8.65</v>
      </c>
      <c r="I9" s="28">
        <f>'1BASE'!G9</f>
        <v>0</v>
      </c>
      <c r="J9" s="28">
        <f>'1BASE'!H9</f>
        <v>0</v>
      </c>
      <c r="K9" s="24"/>
      <c r="L9" s="24"/>
      <c r="M9" s="24"/>
      <c r="N9" s="24"/>
      <c r="O9" s="24"/>
      <c r="P9" s="24"/>
      <c r="Q9" s="24"/>
      <c r="R9" s="24"/>
      <c r="S9" s="5"/>
      <c r="T9" s="5"/>
      <c r="U9" s="1" t="s">
        <v>96</v>
      </c>
      <c r="V9" s="11">
        <v>0.05</v>
      </c>
      <c r="W9" s="1">
        <f>+INICIO!$C$34</f>
        <v>2014</v>
      </c>
      <c r="X9" s="1" t="str">
        <f>+INICIO!$B$32</f>
        <v>LATIFOLIADO</v>
      </c>
      <c r="Y9" s="50" t="str">
        <f t="shared" si="0"/>
        <v>DEJAR</v>
      </c>
      <c r="Z9" s="50" t="str">
        <f t="shared" si="1"/>
        <v>DEJAR</v>
      </c>
      <c r="AA9" s="50" t="str">
        <f t="shared" si="2"/>
        <v>DEJAR</v>
      </c>
      <c r="AB9" s="50" t="str">
        <f t="shared" si="3"/>
        <v>DEJAR</v>
      </c>
      <c r="AC9" s="52">
        <f t="shared" si="4"/>
        <v>0.58088048164875272</v>
      </c>
      <c r="AD9" s="52">
        <f t="shared" si="5"/>
        <v>11.617609632975054</v>
      </c>
      <c r="AE9" s="52">
        <f>+IF(X9=INICIO!$B$31,0.15991*D9^2.32764,AND(X9=INICIO!$B$32)*0.13657*D9^2.38351)</f>
        <v>5575.0878207290734</v>
      </c>
      <c r="AF9" s="52">
        <f t="shared" si="6"/>
        <v>111501.75641458147</v>
      </c>
      <c r="AG9" s="52">
        <f>+AE9/1000*INICIO!$D$50</f>
        <v>2.6202912757426642</v>
      </c>
      <c r="AH9" s="52">
        <f>+AF9/1000*INICIO!$D$50</f>
        <v>52.405825514853284</v>
      </c>
      <c r="AI9" s="55">
        <f>+IF(X9=INICIO!$B$31,IF(D9&lt;=82,0.15991*D9^2.32764, 0.15991*82^2.32764),AND(X9=INICIO!$B$32)*IF(D9&lt;=79.9,0.13657*D9^2.38351,0.13657*79.9^2.38351))</f>
        <v>4678.370186681871</v>
      </c>
      <c r="AJ9" s="56">
        <f t="shared" si="7"/>
        <v>93567.403733637417</v>
      </c>
      <c r="AK9" s="56">
        <f>+AI9/1000*INICIO!$D$50</f>
        <v>2.1988339877404792</v>
      </c>
      <c r="AL9" s="56">
        <f>+AJ9/1000*INICIO!$D$50</f>
        <v>43.976679754809588</v>
      </c>
      <c r="AM9" s="57" t="str">
        <f>+INICIO!$C$30</f>
        <v>UVG_B_Kg</v>
      </c>
    </row>
    <row r="10" spans="1:42" ht="15" x14ac:dyDescent="0.25">
      <c r="A10" s="24">
        <v>1</v>
      </c>
      <c r="B10" s="25">
        <f>'1BASE'!A10</f>
        <v>9</v>
      </c>
      <c r="C10" s="24" t="str">
        <f>'1BASE'!B10</f>
        <v>Tamarindo</v>
      </c>
      <c r="D10" s="26">
        <f>'1BASE'!C10</f>
        <v>49</v>
      </c>
      <c r="E10" s="27">
        <f>'1BASE'!D10</f>
        <v>0</v>
      </c>
      <c r="F10" s="27">
        <f>'1BASE'!E10</f>
        <v>0</v>
      </c>
      <c r="G10" s="27"/>
      <c r="H10" s="26">
        <f>'1BASE'!F10</f>
        <v>0</v>
      </c>
      <c r="I10" s="28">
        <f>'1BASE'!G10</f>
        <v>0</v>
      </c>
      <c r="J10" s="28">
        <f>'1BASE'!H10</f>
        <v>0</v>
      </c>
      <c r="K10" s="24"/>
      <c r="L10" s="24"/>
      <c r="M10" s="24"/>
      <c r="N10" s="24"/>
      <c r="O10" s="24"/>
      <c r="P10" s="24"/>
      <c r="Q10" s="24"/>
      <c r="R10" s="24"/>
      <c r="S10" s="5"/>
      <c r="T10" s="5"/>
      <c r="U10" s="1" t="s">
        <v>96</v>
      </c>
      <c r="V10" s="11">
        <v>0.05</v>
      </c>
      <c r="W10" s="1">
        <f>+INICIO!$C$34</f>
        <v>2014</v>
      </c>
      <c r="X10" s="1" t="str">
        <f>+INICIO!$B$32</f>
        <v>LATIFOLIADO</v>
      </c>
      <c r="Y10" s="50" t="str">
        <f t="shared" si="0"/>
        <v>DEJAR</v>
      </c>
      <c r="Z10" s="50" t="str">
        <f t="shared" si="1"/>
        <v>DEJAR</v>
      </c>
      <c r="AA10" s="50" t="str">
        <f t="shared" si="2"/>
        <v>DEJAR</v>
      </c>
      <c r="AB10" s="50" t="str">
        <f t="shared" si="3"/>
        <v>DEJAR</v>
      </c>
      <c r="AC10" s="52">
        <f t="shared" si="4"/>
        <v>0.18857409903172731</v>
      </c>
      <c r="AD10" s="52">
        <f t="shared" si="5"/>
        <v>3.7714819806345461</v>
      </c>
      <c r="AE10" s="52">
        <f>+IF(X10=INICIO!$B$31,0.15991*D10^2.32764,AND(X10=INICIO!$B$32)*0.13657*D10^2.38351)</f>
        <v>1458.6616605664788</v>
      </c>
      <c r="AF10" s="52">
        <f t="shared" si="6"/>
        <v>29173.233211329574</v>
      </c>
      <c r="AG10" s="52">
        <f>+AE10/1000*INICIO!$D$50</f>
        <v>0.68557098046624498</v>
      </c>
      <c r="AH10" s="52">
        <f>+AF10/1000*INICIO!$D$50</f>
        <v>13.711419609324899</v>
      </c>
      <c r="AI10" s="55">
        <f>+IF(X10=INICIO!$B$31,IF(D10&lt;=82,0.15991*D10^2.32764, 0.15991*82^2.32764),AND(X10=INICIO!$B$32)*IF(D10&lt;=79.9,0.13657*D10^2.38351,0.13657*79.9^2.38351))</f>
        <v>1458.6616605664788</v>
      </c>
      <c r="AJ10" s="56">
        <f t="shared" si="7"/>
        <v>29173.233211329574</v>
      </c>
      <c r="AK10" s="56">
        <f>+AI10/1000*INICIO!$D$50</f>
        <v>0.68557098046624498</v>
      </c>
      <c r="AL10" s="56">
        <f>+AJ10/1000*INICIO!$D$50</f>
        <v>13.711419609324899</v>
      </c>
      <c r="AM10" s="57" t="str">
        <f>+INICIO!$C$30</f>
        <v>UVG_B_Kg</v>
      </c>
    </row>
    <row r="11" spans="1:42" ht="15" x14ac:dyDescent="0.25">
      <c r="A11" s="24">
        <v>1</v>
      </c>
      <c r="B11" s="25">
        <f>'1BASE'!A11</f>
        <v>10</v>
      </c>
      <c r="C11" s="24">
        <f>'1BASE'!B11</f>
        <v>0</v>
      </c>
      <c r="D11" s="26">
        <f>'1BASE'!C11</f>
        <v>14</v>
      </c>
      <c r="E11" s="27">
        <f>'1BASE'!D11</f>
        <v>0</v>
      </c>
      <c r="F11" s="27">
        <f>'1BASE'!E11</f>
        <v>0</v>
      </c>
      <c r="G11" s="27"/>
      <c r="H11" s="26">
        <f>'1BASE'!F11</f>
        <v>0</v>
      </c>
      <c r="I11" s="28">
        <f>'1BASE'!G11</f>
        <v>0</v>
      </c>
      <c r="J11" s="28">
        <f>'1BASE'!H11</f>
        <v>0</v>
      </c>
      <c r="K11" s="24"/>
      <c r="L11" s="24"/>
      <c r="M11" s="24"/>
      <c r="N11" s="24"/>
      <c r="O11" s="24"/>
      <c r="P11" s="24"/>
      <c r="Q11" s="24"/>
      <c r="R11" s="24"/>
      <c r="S11" s="5"/>
      <c r="T11" s="5"/>
      <c r="U11" s="1" t="s">
        <v>96</v>
      </c>
      <c r="V11" s="11">
        <v>0.05</v>
      </c>
      <c r="W11" s="1">
        <f>+INICIO!$C$34</f>
        <v>2014</v>
      </c>
      <c r="X11" s="1" t="str">
        <f>+INICIO!$B$32</f>
        <v>LATIFOLIADO</v>
      </c>
      <c r="Y11" s="50" t="str">
        <f t="shared" si="0"/>
        <v>DEJAR</v>
      </c>
      <c r="Z11" s="50" t="str">
        <f t="shared" si="1"/>
        <v>DEJAR</v>
      </c>
      <c r="AA11" s="50" t="str">
        <f t="shared" si="2"/>
        <v>DEJAR</v>
      </c>
      <c r="AB11" s="50" t="str">
        <f t="shared" si="3"/>
        <v>DEJAR</v>
      </c>
      <c r="AC11" s="52">
        <f t="shared" si="4"/>
        <v>1.5393804002589988E-2</v>
      </c>
      <c r="AD11" s="52">
        <f t="shared" si="5"/>
        <v>0.30787608005179973</v>
      </c>
      <c r="AE11" s="52">
        <f>+IF(X11=INICIO!$B$31,0.15991*D11^2.32764,AND(X11=INICIO!$B$32)*0.13657*D11^2.38351)</f>
        <v>73.64833681845144</v>
      </c>
      <c r="AF11" s="52">
        <f t="shared" si="6"/>
        <v>1472.9667363690287</v>
      </c>
      <c r="AG11" s="52">
        <f>+AE11/1000*INICIO!$D$50</f>
        <v>3.4614718304672172E-2</v>
      </c>
      <c r="AH11" s="52">
        <f>+AF11/1000*INICIO!$D$50</f>
        <v>0.69229436609344341</v>
      </c>
      <c r="AI11" s="55">
        <f>+IF(X11=INICIO!$B$31,IF(D11&lt;=82,0.15991*D11^2.32764, 0.15991*82^2.32764),AND(X11=INICIO!$B$32)*IF(D11&lt;=79.9,0.13657*D11^2.38351,0.13657*79.9^2.38351))</f>
        <v>73.64833681845144</v>
      </c>
      <c r="AJ11" s="56">
        <f t="shared" si="7"/>
        <v>1472.9667363690287</v>
      </c>
      <c r="AK11" s="56">
        <f>+AI11/1000*INICIO!$D$50</f>
        <v>3.4614718304672172E-2</v>
      </c>
      <c r="AL11" s="56">
        <f>+AJ11/1000*INICIO!$D$50</f>
        <v>0.69229436609344341</v>
      </c>
      <c r="AM11" s="57" t="str">
        <f>+INICIO!$C$30</f>
        <v>UVG_B_Kg</v>
      </c>
    </row>
    <row r="12" spans="1:42" ht="15" x14ac:dyDescent="0.25">
      <c r="A12" s="24">
        <v>1</v>
      </c>
      <c r="B12" s="25">
        <f>'1BASE'!A12</f>
        <v>11</v>
      </c>
      <c r="C12" s="24">
        <f>'1BASE'!B12</f>
        <v>0</v>
      </c>
      <c r="D12" s="26">
        <f>'1BASE'!C12</f>
        <v>24.5</v>
      </c>
      <c r="E12" s="27">
        <f>'1BASE'!D12</f>
        <v>0</v>
      </c>
      <c r="F12" s="27">
        <f>'1BASE'!E12</f>
        <v>0</v>
      </c>
      <c r="G12" s="27"/>
      <c r="H12" s="26">
        <f>'1BASE'!F12</f>
        <v>0</v>
      </c>
      <c r="I12" s="28">
        <f>'1BASE'!G12</f>
        <v>0</v>
      </c>
      <c r="J12" s="28">
        <f>'1BASE'!H12</f>
        <v>0</v>
      </c>
      <c r="K12" s="24"/>
      <c r="L12" s="24"/>
      <c r="M12" s="24"/>
      <c r="N12" s="24"/>
      <c r="O12" s="24"/>
      <c r="P12" s="24"/>
      <c r="Q12" s="24"/>
      <c r="R12" s="24"/>
      <c r="S12" s="5"/>
      <c r="T12" s="5"/>
      <c r="U12" s="1" t="s">
        <v>96</v>
      </c>
      <c r="V12" s="11">
        <v>0.05</v>
      </c>
      <c r="W12" s="1">
        <f>+INICIO!$C$34</f>
        <v>2014</v>
      </c>
      <c r="X12" s="1" t="str">
        <f>+INICIO!$B$32</f>
        <v>LATIFOLIADO</v>
      </c>
      <c r="Y12" s="50" t="str">
        <f t="shared" si="0"/>
        <v>DEJAR</v>
      </c>
      <c r="Z12" s="50" t="str">
        <f t="shared" si="1"/>
        <v>DEJAR</v>
      </c>
      <c r="AA12" s="50" t="str">
        <f t="shared" si="2"/>
        <v>DEJAR</v>
      </c>
      <c r="AB12" s="50" t="str">
        <f t="shared" si="3"/>
        <v>DEJAR</v>
      </c>
      <c r="AC12" s="52">
        <f t="shared" si="4"/>
        <v>4.7143524757931828E-2</v>
      </c>
      <c r="AD12" s="52">
        <f t="shared" si="5"/>
        <v>0.94287049515863652</v>
      </c>
      <c r="AE12" s="52">
        <f>+IF(X12=INICIO!$B$31,0.15991*D12^2.32764,AND(X12=INICIO!$B$32)*0.13657*D12^2.38351)</f>
        <v>279.54167502677348</v>
      </c>
      <c r="AF12" s="52">
        <f t="shared" si="6"/>
        <v>5590.8335005354693</v>
      </c>
      <c r="AG12" s="52">
        <f>+AE12/1000*INICIO!$D$50</f>
        <v>0.13138458726258351</v>
      </c>
      <c r="AH12" s="52">
        <f>+AF12/1000*INICIO!$D$50</f>
        <v>2.6276917452516702</v>
      </c>
      <c r="AI12" s="55">
        <f>+IF(X12=INICIO!$B$31,IF(D12&lt;=82,0.15991*D12^2.32764, 0.15991*82^2.32764),AND(X12=INICIO!$B$32)*IF(D12&lt;=79.9,0.13657*D12^2.38351,0.13657*79.9^2.38351))</f>
        <v>279.54167502677348</v>
      </c>
      <c r="AJ12" s="56">
        <f t="shared" si="7"/>
        <v>5590.8335005354693</v>
      </c>
      <c r="AK12" s="56">
        <f>+AI12/1000*INICIO!$D$50</f>
        <v>0.13138458726258351</v>
      </c>
      <c r="AL12" s="56">
        <f>+AJ12/1000*INICIO!$D$50</f>
        <v>2.6276917452516702</v>
      </c>
      <c r="AM12" s="57" t="str">
        <f>+INICIO!$C$30</f>
        <v>UVG_B_Kg</v>
      </c>
    </row>
    <row r="13" spans="1:42" ht="15" x14ac:dyDescent="0.25">
      <c r="A13" s="24">
        <v>1</v>
      </c>
      <c r="B13" s="25">
        <f>'1BASE'!A13</f>
        <v>12</v>
      </c>
      <c r="C13" s="24">
        <f>'1BASE'!B13</f>
        <v>0</v>
      </c>
      <c r="D13" s="26">
        <f>'1BASE'!C13</f>
        <v>15.5</v>
      </c>
      <c r="E13" s="27">
        <f>'1BASE'!D13</f>
        <v>0</v>
      </c>
      <c r="F13" s="27">
        <f>'1BASE'!E13</f>
        <v>0</v>
      </c>
      <c r="G13" s="27"/>
      <c r="H13" s="26">
        <f>'1BASE'!F13</f>
        <v>0</v>
      </c>
      <c r="I13" s="28">
        <f>'1BASE'!G13</f>
        <v>0</v>
      </c>
      <c r="J13" s="28">
        <f>'1BASE'!H13</f>
        <v>0</v>
      </c>
      <c r="K13" s="24"/>
      <c r="L13" s="24"/>
      <c r="M13" s="24"/>
      <c r="N13" s="24"/>
      <c r="O13" s="24"/>
      <c r="P13" s="24"/>
      <c r="Q13" s="24"/>
      <c r="R13" s="24"/>
      <c r="S13" s="5"/>
      <c r="T13" s="5"/>
      <c r="U13" s="1" t="s">
        <v>96</v>
      </c>
      <c r="V13" s="11">
        <v>0.05</v>
      </c>
      <c r="W13" s="1">
        <f>+INICIO!$C$34</f>
        <v>2014</v>
      </c>
      <c r="X13" s="1" t="str">
        <f>+INICIO!$B$32</f>
        <v>LATIFOLIADO</v>
      </c>
      <c r="Y13" s="50" t="str">
        <f t="shared" si="0"/>
        <v>DEJAR</v>
      </c>
      <c r="Z13" s="50" t="str">
        <f t="shared" si="1"/>
        <v>DEJAR</v>
      </c>
      <c r="AA13" s="50" t="str">
        <f t="shared" si="2"/>
        <v>DEJAR</v>
      </c>
      <c r="AB13" s="50" t="str">
        <f t="shared" si="3"/>
        <v>DEJAR</v>
      </c>
      <c r="AC13" s="52">
        <f t="shared" si="4"/>
        <v>1.8869190875623696E-2</v>
      </c>
      <c r="AD13" s="52">
        <f t="shared" si="5"/>
        <v>0.37738381751247391</v>
      </c>
      <c r="AE13" s="52">
        <f>+IF(X13=INICIO!$B$31,0.15991*D13^2.32764,AND(X13=INICIO!$B$32)*0.13657*D13^2.38351)</f>
        <v>93.869134877908024</v>
      </c>
      <c r="AF13" s="52">
        <f t="shared" si="6"/>
        <v>1877.3826975581603</v>
      </c>
      <c r="AG13" s="52">
        <f>+AE13/1000*INICIO!$D$50</f>
        <v>4.4118493392616774E-2</v>
      </c>
      <c r="AH13" s="52">
        <f>+AF13/1000*INICIO!$D$50</f>
        <v>0.88236986785233529</v>
      </c>
      <c r="AI13" s="55">
        <f>+IF(X13=INICIO!$B$31,IF(D13&lt;=82,0.15991*D13^2.32764, 0.15991*82^2.32764),AND(X13=INICIO!$B$32)*IF(D13&lt;=79.9,0.13657*D13^2.38351,0.13657*79.9^2.38351))</f>
        <v>93.869134877908024</v>
      </c>
      <c r="AJ13" s="56">
        <f t="shared" si="7"/>
        <v>1877.3826975581603</v>
      </c>
      <c r="AK13" s="56">
        <f>+AI13/1000*INICIO!$D$50</f>
        <v>4.4118493392616774E-2</v>
      </c>
      <c r="AL13" s="56">
        <f>+AJ13/1000*INICIO!$D$50</f>
        <v>0.88236986785233529</v>
      </c>
      <c r="AM13" s="57" t="str">
        <f>+INICIO!$C$30</f>
        <v>UVG_B_Kg</v>
      </c>
    </row>
    <row r="14" spans="1:42" ht="15" x14ac:dyDescent="0.25">
      <c r="A14" s="24">
        <v>1</v>
      </c>
      <c r="B14" s="25">
        <f>'1BASE'!A14</f>
        <v>13</v>
      </c>
      <c r="C14" s="24">
        <f>'1BASE'!B14</f>
        <v>0</v>
      </c>
      <c r="D14" s="26">
        <f>'1BASE'!C14</f>
        <v>16.5</v>
      </c>
      <c r="E14" s="27">
        <f>'1BASE'!D14</f>
        <v>0</v>
      </c>
      <c r="F14" s="27">
        <f>'1BASE'!E14</f>
        <v>0</v>
      </c>
      <c r="G14" s="27"/>
      <c r="H14" s="26">
        <f>'1BASE'!F14</f>
        <v>0</v>
      </c>
      <c r="I14" s="28">
        <f>'1BASE'!G14</f>
        <v>0</v>
      </c>
      <c r="J14" s="28">
        <f>'1BASE'!H14</f>
        <v>0</v>
      </c>
      <c r="K14" s="24"/>
      <c r="L14" s="24"/>
      <c r="M14" s="24"/>
      <c r="N14" s="24"/>
      <c r="O14" s="24"/>
      <c r="P14" s="24"/>
      <c r="Q14" s="24"/>
      <c r="R14" s="24"/>
      <c r="S14" s="5"/>
      <c r="T14" s="5"/>
      <c r="U14" s="1" t="s">
        <v>96</v>
      </c>
      <c r="V14" s="11">
        <v>0.05</v>
      </c>
      <c r="W14" s="1">
        <f>+INICIO!$C$34</f>
        <v>2014</v>
      </c>
      <c r="X14" s="1" t="str">
        <f>+INICIO!$B$32</f>
        <v>LATIFOLIADO</v>
      </c>
      <c r="Y14" s="50" t="str">
        <f t="shared" si="0"/>
        <v>DEJAR</v>
      </c>
      <c r="Z14" s="50" t="str">
        <f t="shared" si="1"/>
        <v>DEJAR</v>
      </c>
      <c r="AA14" s="50" t="str">
        <f t="shared" si="2"/>
        <v>DEJAR</v>
      </c>
      <c r="AB14" s="50" t="str">
        <f t="shared" si="3"/>
        <v>DEJAR</v>
      </c>
      <c r="AC14" s="52">
        <f t="shared" si="4"/>
        <v>2.1382464998495533E-2</v>
      </c>
      <c r="AD14" s="52">
        <f t="shared" si="5"/>
        <v>0.42764929996991063</v>
      </c>
      <c r="AE14" s="52">
        <f>+IF(X14=INICIO!$B$31,0.15991*D14^2.32764,AND(X14=INICIO!$B$32)*0.13657*D14^2.38351)</f>
        <v>108.95331919183752</v>
      </c>
      <c r="AF14" s="52">
        <f t="shared" si="6"/>
        <v>2179.0663838367504</v>
      </c>
      <c r="AG14" s="52">
        <f>+AE14/1000*INICIO!$D$50</f>
        <v>5.1208060020163634E-2</v>
      </c>
      <c r="AH14" s="52">
        <f>+AF14/1000*INICIO!$D$50</f>
        <v>1.0241612004032727</v>
      </c>
      <c r="AI14" s="55">
        <f>+IF(X14=INICIO!$B$31,IF(D14&lt;=82,0.15991*D14^2.32764, 0.15991*82^2.32764),AND(X14=INICIO!$B$32)*IF(D14&lt;=79.9,0.13657*D14^2.38351,0.13657*79.9^2.38351))</f>
        <v>108.95331919183752</v>
      </c>
      <c r="AJ14" s="56">
        <f t="shared" si="7"/>
        <v>2179.0663838367504</v>
      </c>
      <c r="AK14" s="56">
        <f>+AI14/1000*INICIO!$D$50</f>
        <v>5.1208060020163634E-2</v>
      </c>
      <c r="AL14" s="56">
        <f>+AJ14/1000*INICIO!$D$50</f>
        <v>1.0241612004032727</v>
      </c>
      <c r="AM14" s="57" t="str">
        <f>+INICIO!$C$30</f>
        <v>UVG_B_Kg</v>
      </c>
    </row>
    <row r="15" spans="1:42" ht="15.75" customHeight="1" x14ac:dyDescent="0.25">
      <c r="A15" s="24">
        <v>2</v>
      </c>
      <c r="B15" s="25">
        <f>'1BASE'!A15</f>
        <v>1</v>
      </c>
      <c r="C15" s="24" t="str">
        <f>'1BASE'!B15</f>
        <v>San Juan</v>
      </c>
      <c r="D15" s="26">
        <f>'1BASE'!C15</f>
        <v>58</v>
      </c>
      <c r="E15" s="27">
        <f>'1BASE'!D15</f>
        <v>55</v>
      </c>
      <c r="F15" s="27">
        <f>'1BASE'!E15</f>
        <v>140</v>
      </c>
      <c r="G15" s="27">
        <f>(TAN(RADIANS(E15))*20)+(TAN(RADIANS(F15))*20)</f>
        <v>11.78096751129668</v>
      </c>
      <c r="H15" s="26">
        <f>'1BASE'!F15</f>
        <v>11.5</v>
      </c>
      <c r="I15" s="22" t="str">
        <f>'1BASE'!G15</f>
        <v>X</v>
      </c>
      <c r="J15" s="22" t="str">
        <f>'1BASE'!H15</f>
        <v>Y</v>
      </c>
      <c r="K15" s="24"/>
      <c r="L15" s="24"/>
      <c r="M15" s="24"/>
      <c r="N15" s="24"/>
      <c r="O15" s="24"/>
      <c r="P15" s="24"/>
      <c r="Q15" s="24"/>
      <c r="R15" s="24"/>
      <c r="S15" s="5"/>
      <c r="T15" s="5"/>
      <c r="U15" s="1" t="s">
        <v>96</v>
      </c>
      <c r="V15" s="11">
        <v>0.05</v>
      </c>
      <c r="W15" s="1">
        <f>+INICIO!$C$34</f>
        <v>2014</v>
      </c>
      <c r="X15" s="1" t="str">
        <f>+INICIO!$B$32</f>
        <v>LATIFOLIADO</v>
      </c>
      <c r="Y15" s="50" t="str">
        <f t="shared" si="0"/>
        <v>DEJAR</v>
      </c>
      <c r="Z15" s="50" t="str">
        <f t="shared" si="1"/>
        <v>DEJAR</v>
      </c>
      <c r="AA15" s="50" t="str">
        <f t="shared" si="2"/>
        <v>DEJAR</v>
      </c>
      <c r="AB15" s="50" t="str">
        <f t="shared" si="3"/>
        <v>DEJAR</v>
      </c>
      <c r="AC15" s="52">
        <f t="shared" si="4"/>
        <v>0.26420794216690158</v>
      </c>
      <c r="AD15" s="52">
        <f t="shared" si="5"/>
        <v>5.2841588433380311</v>
      </c>
      <c r="AE15" s="52">
        <f>+IF(X15=INICIO!$B$31,0.15991*D15^2.32764,AND(X15=INICIO!$B$32)*0.13657*D15^2.38351)</f>
        <v>2180.2363008097436</v>
      </c>
      <c r="AF15" s="52">
        <f t="shared" si="6"/>
        <v>43604.726016194872</v>
      </c>
      <c r="AG15" s="52">
        <f>+AE15/1000*INICIO!$D$50</f>
        <v>1.0247110613805794</v>
      </c>
      <c r="AH15" s="52">
        <f>+AF15/1000*INICIO!$D$50</f>
        <v>20.49422122761159</v>
      </c>
      <c r="AI15" s="55">
        <f>+IF(X15=INICIO!$B$31,IF(D15&lt;=82,0.15991*D15^2.32764, 0.15991*82^2.32764),AND(X15=INICIO!$B$32)*IF(D15&lt;=79.9,0.13657*D15^2.38351,0.13657*79.9^2.38351))</f>
        <v>2180.2363008097436</v>
      </c>
      <c r="AJ15" s="56">
        <f t="shared" si="7"/>
        <v>43604.726016194872</v>
      </c>
      <c r="AK15" s="56">
        <f>+AI15/1000*INICIO!$D$50</f>
        <v>1.0247110613805794</v>
      </c>
      <c r="AL15" s="56">
        <f>+AJ15/1000*INICIO!$D$50</f>
        <v>20.49422122761159</v>
      </c>
      <c r="AM15" s="57" t="str">
        <f>+INICIO!$C$30</f>
        <v>UVG_B_Kg</v>
      </c>
    </row>
    <row r="16" spans="1:42" ht="15" x14ac:dyDescent="0.25">
      <c r="A16" s="24">
        <v>2</v>
      </c>
      <c r="B16" s="25">
        <f>'1BASE'!A16</f>
        <v>2</v>
      </c>
      <c r="C16" s="24">
        <f>'1BASE'!B16</f>
        <v>0</v>
      </c>
      <c r="D16" s="26">
        <f>'1BASE'!C16</f>
        <v>14</v>
      </c>
      <c r="E16" s="27">
        <f>'1BASE'!D16</f>
        <v>0</v>
      </c>
      <c r="F16" s="27">
        <f>'1BASE'!E16</f>
        <v>0</v>
      </c>
      <c r="G16" s="27"/>
      <c r="H16" s="26">
        <f>'1BASE'!F16</f>
        <v>0</v>
      </c>
      <c r="I16" s="22" t="str">
        <f>'1BASE'!G16</f>
        <v>88° 38' 52.4''</v>
      </c>
      <c r="J16" s="22" t="str">
        <f>'1BASE'!H16</f>
        <v>15° 41' 7.0''</v>
      </c>
      <c r="K16" s="24" t="str">
        <f>LEFT(I16,2)</f>
        <v>88</v>
      </c>
      <c r="L16" s="24" t="str">
        <f>+LEFT(RIGHT(I16,10),2)</f>
        <v>38</v>
      </c>
      <c r="M16" s="24" t="str">
        <f>+LEFT(RIGHT(I16,6),4)</f>
        <v>52.4</v>
      </c>
      <c r="N16" s="24">
        <f>(K16+((L16+(M16/60)/60)/60))*-1</f>
        <v>-88.633575925925925</v>
      </c>
      <c r="O16" s="24" t="str">
        <f>LEFT(J16,2)</f>
        <v>15</v>
      </c>
      <c r="P16" s="24" t="str">
        <f>+LEFT(RIGHT(J16,9),2)</f>
        <v>41</v>
      </c>
      <c r="Q16" s="24" t="str">
        <f>+LEFT(RIGHT(J16,6),4)</f>
        <v xml:space="preserve"> 7.0</v>
      </c>
      <c r="R16" s="24">
        <f>O16+((P16+(Q16/60)/60)/60)</f>
        <v>15.68336574074074</v>
      </c>
      <c r="S16" s="11">
        <v>700073.52631800005</v>
      </c>
      <c r="T16" s="11">
        <v>1735139.6190800001</v>
      </c>
      <c r="U16" s="1" t="s">
        <v>96</v>
      </c>
      <c r="V16" s="11">
        <v>0.05</v>
      </c>
      <c r="W16" s="1">
        <f>+INICIO!$C$34</f>
        <v>2014</v>
      </c>
      <c r="X16" s="1" t="str">
        <f>+INICIO!$B$32</f>
        <v>LATIFOLIADO</v>
      </c>
      <c r="Y16" s="50" t="str">
        <f t="shared" si="0"/>
        <v>DEJAR</v>
      </c>
      <c r="Z16" s="50" t="str">
        <f t="shared" si="1"/>
        <v>DEJAR</v>
      </c>
      <c r="AA16" s="50" t="str">
        <f t="shared" si="2"/>
        <v>DEJAR</v>
      </c>
      <c r="AB16" s="50" t="str">
        <f t="shared" si="3"/>
        <v>DEJAR</v>
      </c>
      <c r="AC16" s="52">
        <f t="shared" si="4"/>
        <v>1.5393804002589988E-2</v>
      </c>
      <c r="AD16" s="52">
        <f t="shared" si="5"/>
        <v>0.30787608005179973</v>
      </c>
      <c r="AE16" s="52">
        <f>+IF(X16=INICIO!$B$31,0.15991*D16^2.32764,AND(X16=INICIO!$B$32)*0.13657*D16^2.38351)</f>
        <v>73.64833681845144</v>
      </c>
      <c r="AF16" s="52">
        <f t="shared" si="6"/>
        <v>1472.9667363690287</v>
      </c>
      <c r="AG16" s="52">
        <f>+AE16/1000*INICIO!$D$50</f>
        <v>3.4614718304672172E-2</v>
      </c>
      <c r="AH16" s="52">
        <f>+AF16/1000*INICIO!$D$50</f>
        <v>0.69229436609344341</v>
      </c>
      <c r="AI16" s="55">
        <f>+IF(X16=INICIO!$B$31,IF(D16&lt;=82,0.15991*D16^2.32764, 0.15991*82^2.32764),AND(X16=INICIO!$B$32)*IF(D16&lt;=79.9,0.13657*D16^2.38351,0.13657*79.9^2.38351))</f>
        <v>73.64833681845144</v>
      </c>
      <c r="AJ16" s="56">
        <f t="shared" si="7"/>
        <v>1472.9667363690287</v>
      </c>
      <c r="AK16" s="56">
        <f>+AI16/1000*INICIO!$D$50</f>
        <v>3.4614718304672172E-2</v>
      </c>
      <c r="AL16" s="56">
        <f>+AJ16/1000*INICIO!$D$50</f>
        <v>0.69229436609344341</v>
      </c>
      <c r="AM16" s="57" t="str">
        <f>+INICIO!$C$30</f>
        <v>UVG_B_Kg</v>
      </c>
    </row>
    <row r="17" spans="1:39" ht="15" x14ac:dyDescent="0.25">
      <c r="A17" s="24">
        <v>2</v>
      </c>
      <c r="B17" s="25">
        <f>'1BASE'!A17</f>
        <v>3</v>
      </c>
      <c r="C17" s="24">
        <f>'1BASE'!B17</f>
        <v>0</v>
      </c>
      <c r="D17" s="26">
        <f>'1BASE'!C17</f>
        <v>32</v>
      </c>
      <c r="E17" s="27">
        <f>'1BASE'!D17</f>
        <v>0</v>
      </c>
      <c r="F17" s="27">
        <f>'1BASE'!E17</f>
        <v>0</v>
      </c>
      <c r="G17" s="27"/>
      <c r="H17" s="26">
        <f>'1BASE'!F17</f>
        <v>0</v>
      </c>
      <c r="I17" s="24">
        <f>'1BASE'!G17</f>
        <v>0</v>
      </c>
      <c r="J17" s="24">
        <f>'1BASE'!H17</f>
        <v>0</v>
      </c>
      <c r="K17" s="24"/>
      <c r="L17" s="24"/>
      <c r="M17" s="24"/>
      <c r="N17" s="24"/>
      <c r="O17" s="24"/>
      <c r="P17" s="24"/>
      <c r="Q17" s="24"/>
      <c r="R17" s="24"/>
      <c r="S17" s="5"/>
      <c r="T17" s="5"/>
      <c r="U17" s="1" t="s">
        <v>96</v>
      </c>
      <c r="V17" s="11">
        <v>0.05</v>
      </c>
      <c r="W17" s="1">
        <f>+INICIO!$C$34</f>
        <v>2014</v>
      </c>
      <c r="X17" s="1" t="str">
        <f>+INICIO!$B$32</f>
        <v>LATIFOLIADO</v>
      </c>
      <c r="Y17" s="50" t="str">
        <f t="shared" si="0"/>
        <v>DEJAR</v>
      </c>
      <c r="Z17" s="50" t="str">
        <f t="shared" si="1"/>
        <v>DEJAR</v>
      </c>
      <c r="AA17" s="50" t="str">
        <f t="shared" si="2"/>
        <v>DEJAR</v>
      </c>
      <c r="AB17" s="50" t="str">
        <f t="shared" si="3"/>
        <v>DEJAR</v>
      </c>
      <c r="AC17" s="52">
        <f t="shared" si="4"/>
        <v>8.0424771931898703E-2</v>
      </c>
      <c r="AD17" s="52">
        <f t="shared" si="5"/>
        <v>1.608495438637974</v>
      </c>
      <c r="AE17" s="52">
        <f>+IF(X17=INICIO!$B$31,0.15991*D17^2.32764,AND(X17=INICIO!$B$32)*0.13657*D17^2.38351)</f>
        <v>528.31791084648671</v>
      </c>
      <c r="AF17" s="52">
        <f t="shared" si="6"/>
        <v>10566.358216929733</v>
      </c>
      <c r="AG17" s="52">
        <f>+AE17/1000*INICIO!$D$50</f>
        <v>0.24830941809784873</v>
      </c>
      <c r="AH17" s="52">
        <f>+AF17/1000*INICIO!$D$50</f>
        <v>4.9661883619569744</v>
      </c>
      <c r="AI17" s="55">
        <f>+IF(X17=INICIO!$B$31,IF(D17&lt;=82,0.15991*D17^2.32764, 0.15991*82^2.32764),AND(X17=INICIO!$B$32)*IF(D17&lt;=79.9,0.13657*D17^2.38351,0.13657*79.9^2.38351))</f>
        <v>528.31791084648671</v>
      </c>
      <c r="AJ17" s="56">
        <f t="shared" si="7"/>
        <v>10566.358216929733</v>
      </c>
      <c r="AK17" s="56">
        <f>+AI17/1000*INICIO!$D$50</f>
        <v>0.24830941809784873</v>
      </c>
      <c r="AL17" s="56">
        <f>+AJ17/1000*INICIO!$D$50</f>
        <v>4.9661883619569744</v>
      </c>
      <c r="AM17" s="57" t="str">
        <f>+INICIO!$C$30</f>
        <v>UVG_B_Kg</v>
      </c>
    </row>
    <row r="18" spans="1:39" ht="15" x14ac:dyDescent="0.25">
      <c r="A18" s="24">
        <v>2</v>
      </c>
      <c r="B18" s="25">
        <f>'1BASE'!A18</f>
        <v>4</v>
      </c>
      <c r="C18" s="24" t="str">
        <f>'1BASE'!B18</f>
        <v>Tamarindo</v>
      </c>
      <c r="D18" s="26">
        <f>'1BASE'!C18</f>
        <v>33</v>
      </c>
      <c r="E18" s="27">
        <f>'1BASE'!D18</f>
        <v>60</v>
      </c>
      <c r="F18" s="27">
        <f>'1BASE'!E18</f>
        <v>120</v>
      </c>
      <c r="G18" s="27">
        <f>(TAN(RADIANS(E18))*20)+(TAN(RADIANS(F18))*20)</f>
        <v>0</v>
      </c>
      <c r="H18" s="26">
        <f>'1BASE'!F18</f>
        <v>0</v>
      </c>
      <c r="I18" s="24">
        <f>'1BASE'!G18</f>
        <v>0</v>
      </c>
      <c r="J18" s="24">
        <f>'1BASE'!H18</f>
        <v>0</v>
      </c>
      <c r="K18" s="24"/>
      <c r="L18" s="24"/>
      <c r="M18" s="24"/>
      <c r="N18" s="24"/>
      <c r="O18" s="24"/>
      <c r="P18" s="24"/>
      <c r="Q18" s="24"/>
      <c r="R18" s="24"/>
      <c r="S18" s="5"/>
      <c r="T18" s="5"/>
      <c r="U18" s="1" t="s">
        <v>96</v>
      </c>
      <c r="V18" s="11">
        <v>0.05</v>
      </c>
      <c r="W18" s="1">
        <f>+INICIO!$C$34</f>
        <v>2014</v>
      </c>
      <c r="X18" s="1" t="str">
        <f>+INICIO!$B$32</f>
        <v>LATIFOLIADO</v>
      </c>
      <c r="Y18" s="50" t="str">
        <f t="shared" si="0"/>
        <v>DEJAR</v>
      </c>
      <c r="Z18" s="50" t="str">
        <f t="shared" si="1"/>
        <v>DEJAR</v>
      </c>
      <c r="AA18" s="50" t="str">
        <f t="shared" si="2"/>
        <v>DEJAR</v>
      </c>
      <c r="AB18" s="50" t="str">
        <f t="shared" si="3"/>
        <v>DEJAR</v>
      </c>
      <c r="AC18" s="52">
        <f t="shared" si="4"/>
        <v>8.5529859993982132E-2</v>
      </c>
      <c r="AD18" s="52">
        <f t="shared" si="5"/>
        <v>1.7105971998796425</v>
      </c>
      <c r="AE18" s="52">
        <f>+IF(X18=INICIO!$B$31,0.15991*D18^2.32764,AND(X18=INICIO!$B$32)*0.13657*D18^2.38351)</f>
        <v>568.52356444302654</v>
      </c>
      <c r="AF18" s="52">
        <f t="shared" si="6"/>
        <v>11370.47128886053</v>
      </c>
      <c r="AG18" s="52">
        <f>+AE18/1000*INICIO!$D$50</f>
        <v>0.26720607528822243</v>
      </c>
      <c r="AH18" s="52">
        <f>+AF18/1000*INICIO!$D$50</f>
        <v>5.3441215057644493</v>
      </c>
      <c r="AI18" s="55">
        <f>+IF(X18=INICIO!$B$31,IF(D18&lt;=82,0.15991*D18^2.32764, 0.15991*82^2.32764),AND(X18=INICIO!$B$32)*IF(D18&lt;=79.9,0.13657*D18^2.38351,0.13657*79.9^2.38351))</f>
        <v>568.52356444302654</v>
      </c>
      <c r="AJ18" s="56">
        <f t="shared" si="7"/>
        <v>11370.47128886053</v>
      </c>
      <c r="AK18" s="56">
        <f>+AI18/1000*INICIO!$D$50</f>
        <v>0.26720607528822243</v>
      </c>
      <c r="AL18" s="56">
        <f>+AJ18/1000*INICIO!$D$50</f>
        <v>5.3441215057644493</v>
      </c>
      <c r="AM18" s="57" t="str">
        <f>+INICIO!$C$30</f>
        <v>UVG_B_Kg</v>
      </c>
    </row>
    <row r="19" spans="1:39" ht="15" x14ac:dyDescent="0.25">
      <c r="A19" s="24">
        <v>2</v>
      </c>
      <c r="B19" s="25">
        <f>'1BASE'!A19</f>
        <v>5</v>
      </c>
      <c r="C19" s="24">
        <f>'1BASE'!B19</f>
        <v>0</v>
      </c>
      <c r="D19" s="26">
        <f>'1BASE'!C19</f>
        <v>28</v>
      </c>
      <c r="E19" s="27">
        <f>'1BASE'!D19</f>
        <v>0</v>
      </c>
      <c r="F19" s="27">
        <f>'1BASE'!E19</f>
        <v>0</v>
      </c>
      <c r="G19" s="27"/>
      <c r="H19" s="26">
        <f>'1BASE'!F19</f>
        <v>0</v>
      </c>
      <c r="I19" s="24">
        <f>'1BASE'!G19</f>
        <v>0</v>
      </c>
      <c r="J19" s="24">
        <f>'1BASE'!H19</f>
        <v>0</v>
      </c>
      <c r="K19" s="24"/>
      <c r="L19" s="24"/>
      <c r="M19" s="24"/>
      <c r="N19" s="24"/>
      <c r="O19" s="24"/>
      <c r="P19" s="24"/>
      <c r="Q19" s="24"/>
      <c r="R19" s="24"/>
      <c r="S19" s="5"/>
      <c r="T19" s="5"/>
      <c r="U19" s="1" t="s">
        <v>96</v>
      </c>
      <c r="V19" s="11">
        <v>0.05</v>
      </c>
      <c r="W19" s="1">
        <f>+INICIO!$C$34</f>
        <v>2014</v>
      </c>
      <c r="X19" s="1" t="str">
        <f>+INICIO!$B$32</f>
        <v>LATIFOLIADO</v>
      </c>
      <c r="Y19" s="50" t="str">
        <f t="shared" si="0"/>
        <v>DEJAR</v>
      </c>
      <c r="Z19" s="50" t="str">
        <f t="shared" si="1"/>
        <v>DEJAR</v>
      </c>
      <c r="AA19" s="50" t="str">
        <f t="shared" si="2"/>
        <v>DEJAR</v>
      </c>
      <c r="AB19" s="50" t="str">
        <f t="shared" si="3"/>
        <v>DEJAR</v>
      </c>
      <c r="AC19" s="52">
        <f t="shared" si="4"/>
        <v>6.1575216010359951E-2</v>
      </c>
      <c r="AD19" s="52">
        <f t="shared" si="5"/>
        <v>1.2315043202071989</v>
      </c>
      <c r="AE19" s="52">
        <f>+IF(X19=INICIO!$B$31,0.15991*D19^2.32764,AND(X19=INICIO!$B$32)*0.13657*D19^2.38351)</f>
        <v>384.30049927715726</v>
      </c>
      <c r="AF19" s="52">
        <f t="shared" si="6"/>
        <v>7686.0099855431445</v>
      </c>
      <c r="AG19" s="52">
        <f>+AE19/1000*INICIO!$D$50</f>
        <v>0.18062123466026389</v>
      </c>
      <c r="AH19" s="52">
        <f>+AF19/1000*INICIO!$D$50</f>
        <v>3.6124246932052775</v>
      </c>
      <c r="AI19" s="55">
        <f>+IF(X19=INICIO!$B$31,IF(D19&lt;=82,0.15991*D19^2.32764, 0.15991*82^2.32764),AND(X19=INICIO!$B$32)*IF(D19&lt;=79.9,0.13657*D19^2.38351,0.13657*79.9^2.38351))</f>
        <v>384.30049927715726</v>
      </c>
      <c r="AJ19" s="56">
        <f t="shared" si="7"/>
        <v>7686.0099855431445</v>
      </c>
      <c r="AK19" s="56">
        <f>+AI19/1000*INICIO!$D$50</f>
        <v>0.18062123466026389</v>
      </c>
      <c r="AL19" s="56">
        <f>+AJ19/1000*INICIO!$D$50</f>
        <v>3.6124246932052775</v>
      </c>
      <c r="AM19" s="57" t="str">
        <f>+INICIO!$C$30</f>
        <v>UVG_B_Kg</v>
      </c>
    </row>
    <row r="20" spans="1:39" ht="15" x14ac:dyDescent="0.25">
      <c r="A20" s="24">
        <v>2</v>
      </c>
      <c r="B20" s="25">
        <f>'1BASE'!A20</f>
        <v>6</v>
      </c>
      <c r="C20" s="24">
        <f>'1BASE'!B20</f>
        <v>0</v>
      </c>
      <c r="D20" s="26">
        <f>'1BASE'!C20</f>
        <v>30</v>
      </c>
      <c r="E20" s="27">
        <f>'1BASE'!D20</f>
        <v>0</v>
      </c>
      <c r="F20" s="27">
        <f>'1BASE'!E20</f>
        <v>0</v>
      </c>
      <c r="G20" s="27"/>
      <c r="H20" s="26">
        <f>'1BASE'!F20</f>
        <v>0</v>
      </c>
      <c r="I20" s="24">
        <f>'1BASE'!G20</f>
        <v>0</v>
      </c>
      <c r="J20" s="24">
        <f>'1BASE'!H20</f>
        <v>0</v>
      </c>
      <c r="K20" s="24"/>
      <c r="L20" s="24"/>
      <c r="M20" s="24"/>
      <c r="N20" s="24"/>
      <c r="O20" s="24"/>
      <c r="P20" s="24"/>
      <c r="Q20" s="24"/>
      <c r="R20" s="24"/>
      <c r="S20" s="5"/>
      <c r="T20" s="5"/>
      <c r="U20" s="1" t="s">
        <v>96</v>
      </c>
      <c r="V20" s="11">
        <v>0.05</v>
      </c>
      <c r="W20" s="1">
        <f>+INICIO!$C$34</f>
        <v>2014</v>
      </c>
      <c r="X20" s="1" t="str">
        <f>+INICIO!$B$32</f>
        <v>LATIFOLIADO</v>
      </c>
      <c r="Y20" s="50" t="str">
        <f t="shared" si="0"/>
        <v>DEJAR</v>
      </c>
      <c r="Z20" s="50" t="str">
        <f t="shared" si="1"/>
        <v>DEJAR</v>
      </c>
      <c r="AA20" s="50" t="str">
        <f t="shared" si="2"/>
        <v>DEJAR</v>
      </c>
      <c r="AB20" s="50" t="str">
        <f t="shared" si="3"/>
        <v>DEJAR</v>
      </c>
      <c r="AC20" s="52">
        <f t="shared" si="4"/>
        <v>7.0685834705770348E-2</v>
      </c>
      <c r="AD20" s="52">
        <f t="shared" si="5"/>
        <v>1.4137166941154069</v>
      </c>
      <c r="AE20" s="52">
        <f>+IF(X20=INICIO!$B$31,0.15991*D20^2.32764,AND(X20=INICIO!$B$32)*0.13657*D20^2.38351)</f>
        <v>452.98997539791907</v>
      </c>
      <c r="AF20" s="52">
        <f t="shared" si="6"/>
        <v>9059.7995079583816</v>
      </c>
      <c r="AG20" s="52">
        <f>+AE20/1000*INICIO!$D$50</f>
        <v>0.21290528843702194</v>
      </c>
      <c r="AH20" s="52">
        <f>+AF20/1000*INICIO!$D$50</f>
        <v>4.2581057687404389</v>
      </c>
      <c r="AI20" s="55">
        <f>+IF(X20=INICIO!$B$31,IF(D20&lt;=82,0.15991*D20^2.32764, 0.15991*82^2.32764),AND(X20=INICIO!$B$32)*IF(D20&lt;=79.9,0.13657*D20^2.38351,0.13657*79.9^2.38351))</f>
        <v>452.98997539791907</v>
      </c>
      <c r="AJ20" s="56">
        <f t="shared" si="7"/>
        <v>9059.7995079583816</v>
      </c>
      <c r="AK20" s="56">
        <f>+AI20/1000*INICIO!$D$50</f>
        <v>0.21290528843702194</v>
      </c>
      <c r="AL20" s="56">
        <f>+AJ20/1000*INICIO!$D$50</f>
        <v>4.2581057687404389</v>
      </c>
      <c r="AM20" s="57" t="str">
        <f>+INICIO!$C$30</f>
        <v>UVG_B_Kg</v>
      </c>
    </row>
    <row r="21" spans="1:39" ht="15" x14ac:dyDescent="0.25">
      <c r="A21" s="24">
        <v>2</v>
      </c>
      <c r="B21" s="25">
        <f>'1BASE'!A21</f>
        <v>7</v>
      </c>
      <c r="C21" s="24">
        <f>'1BASE'!B21</f>
        <v>0</v>
      </c>
      <c r="D21" s="26">
        <f>'1BASE'!C21</f>
        <v>29</v>
      </c>
      <c r="E21" s="27">
        <f>'1BASE'!D21</f>
        <v>0</v>
      </c>
      <c r="F21" s="27">
        <f>'1BASE'!E21</f>
        <v>0</v>
      </c>
      <c r="G21" s="27"/>
      <c r="H21" s="26">
        <f>'1BASE'!F21</f>
        <v>0</v>
      </c>
      <c r="I21" s="24">
        <f>'1BASE'!G21</f>
        <v>0</v>
      </c>
      <c r="J21" s="24">
        <f>'1BASE'!H21</f>
        <v>0</v>
      </c>
      <c r="K21" s="24"/>
      <c r="L21" s="24"/>
      <c r="M21" s="24"/>
      <c r="N21" s="24"/>
      <c r="O21" s="24"/>
      <c r="P21" s="24"/>
      <c r="Q21" s="24"/>
      <c r="R21" s="24"/>
      <c r="S21" s="5"/>
      <c r="T21" s="5"/>
      <c r="U21" s="1" t="s">
        <v>96</v>
      </c>
      <c r="V21" s="11">
        <v>0.05</v>
      </c>
      <c r="W21" s="1">
        <f>+INICIO!$C$34</f>
        <v>2014</v>
      </c>
      <c r="X21" s="1" t="str">
        <f>+INICIO!$B$32</f>
        <v>LATIFOLIADO</v>
      </c>
      <c r="Y21" s="50" t="str">
        <f t="shared" si="0"/>
        <v>DEJAR</v>
      </c>
      <c r="Z21" s="50" t="str">
        <f t="shared" si="1"/>
        <v>DEJAR</v>
      </c>
      <c r="AA21" s="50" t="str">
        <f t="shared" si="2"/>
        <v>DEJAR</v>
      </c>
      <c r="AB21" s="50" t="str">
        <f t="shared" si="3"/>
        <v>DEJAR</v>
      </c>
      <c r="AC21" s="52">
        <f t="shared" si="4"/>
        <v>6.6051985541725394E-2</v>
      </c>
      <c r="AD21" s="52">
        <f t="shared" si="5"/>
        <v>1.3210397108345078</v>
      </c>
      <c r="AE21" s="52">
        <f>+IF(X21=INICIO!$B$31,0.15991*D21^2.32764,AND(X21=INICIO!$B$32)*0.13657*D21^2.38351)</f>
        <v>417.82609631752575</v>
      </c>
      <c r="AF21" s="52">
        <f t="shared" si="6"/>
        <v>8356.5219263505151</v>
      </c>
      <c r="AG21" s="52">
        <f>+AE21/1000*INICIO!$D$50</f>
        <v>0.1963782652692371</v>
      </c>
      <c r="AH21" s="52">
        <f>+AF21/1000*INICIO!$D$50</f>
        <v>3.9275653053847419</v>
      </c>
      <c r="AI21" s="55">
        <f>+IF(X21=INICIO!$B$31,IF(D21&lt;=82,0.15991*D21^2.32764, 0.15991*82^2.32764),AND(X21=INICIO!$B$32)*IF(D21&lt;=79.9,0.13657*D21^2.38351,0.13657*79.9^2.38351))</f>
        <v>417.82609631752575</v>
      </c>
      <c r="AJ21" s="56">
        <f t="shared" si="7"/>
        <v>8356.5219263505151</v>
      </c>
      <c r="AK21" s="56">
        <f>+AI21/1000*INICIO!$D$50</f>
        <v>0.1963782652692371</v>
      </c>
      <c r="AL21" s="56">
        <f>+AJ21/1000*INICIO!$D$50</f>
        <v>3.9275653053847419</v>
      </c>
      <c r="AM21" s="57" t="str">
        <f>+INICIO!$C$30</f>
        <v>UVG_B_Kg</v>
      </c>
    </row>
    <row r="22" spans="1:39" ht="15" x14ac:dyDescent="0.25">
      <c r="A22" s="24">
        <v>2</v>
      </c>
      <c r="B22" s="25">
        <f>'1BASE'!A22</f>
        <v>8</v>
      </c>
      <c r="C22" s="24">
        <f>'1BASE'!B22</f>
        <v>0</v>
      </c>
      <c r="D22" s="26">
        <f>'1BASE'!C22</f>
        <v>70</v>
      </c>
      <c r="E22" s="27">
        <f>'1BASE'!D22</f>
        <v>50</v>
      </c>
      <c r="F22" s="27">
        <f>'1BASE'!E22</f>
        <v>140</v>
      </c>
      <c r="G22" s="27">
        <f>(TAN(RADIANS(E22))*20)+(TAN(RADIANS(F22))*20)</f>
        <v>7.0530792283385928</v>
      </c>
      <c r="H22" s="26">
        <f>'1BASE'!F22</f>
        <v>8.75</v>
      </c>
      <c r="I22" s="24">
        <f>'1BASE'!G22</f>
        <v>0</v>
      </c>
      <c r="J22" s="24">
        <f>'1BASE'!H22</f>
        <v>0</v>
      </c>
      <c r="K22" s="24"/>
      <c r="L22" s="24"/>
      <c r="M22" s="24"/>
      <c r="N22" s="24"/>
      <c r="O22" s="24"/>
      <c r="P22" s="24"/>
      <c r="Q22" s="24"/>
      <c r="R22" s="24"/>
      <c r="S22" s="5"/>
      <c r="T22" s="5"/>
      <c r="U22" s="1" t="s">
        <v>96</v>
      </c>
      <c r="V22" s="11">
        <v>0.05</v>
      </c>
      <c r="W22" s="1">
        <f>+INICIO!$C$34</f>
        <v>2014</v>
      </c>
      <c r="X22" s="1" t="str">
        <f>+INICIO!$B$32</f>
        <v>LATIFOLIADO</v>
      </c>
      <c r="Y22" s="50" t="str">
        <f t="shared" si="0"/>
        <v>DEJAR</v>
      </c>
      <c r="Z22" s="50" t="str">
        <f t="shared" si="1"/>
        <v>DEJAR</v>
      </c>
      <c r="AA22" s="50" t="str">
        <f t="shared" si="2"/>
        <v>DEJAR</v>
      </c>
      <c r="AB22" s="50" t="str">
        <f t="shared" si="3"/>
        <v>DEJAR</v>
      </c>
      <c r="AC22" s="52">
        <f t="shared" si="4"/>
        <v>0.38484510006474959</v>
      </c>
      <c r="AD22" s="52">
        <f t="shared" si="5"/>
        <v>7.6969020012949914</v>
      </c>
      <c r="AE22" s="52">
        <f>+IF(X22=INICIO!$B$31,0.15991*D22^2.32764,AND(X22=INICIO!$B$32)*0.13657*D22^2.38351)</f>
        <v>3413.2251636463757</v>
      </c>
      <c r="AF22" s="52">
        <f t="shared" si="6"/>
        <v>68264.503272927512</v>
      </c>
      <c r="AG22" s="52">
        <f>+AE22/1000*INICIO!$D$50</f>
        <v>1.6042158269137965</v>
      </c>
      <c r="AH22" s="52">
        <f>+AF22/1000*INICIO!$D$50</f>
        <v>32.084316538275928</v>
      </c>
      <c r="AI22" s="55">
        <f>+IF(X22=INICIO!$B$31,IF(D22&lt;=82,0.15991*D22^2.32764, 0.15991*82^2.32764),AND(X22=INICIO!$B$32)*IF(D22&lt;=79.9,0.13657*D22^2.38351,0.13657*79.9^2.38351))</f>
        <v>3413.2251636463757</v>
      </c>
      <c r="AJ22" s="56">
        <f t="shared" si="7"/>
        <v>68264.503272927512</v>
      </c>
      <c r="AK22" s="56">
        <f>+AI22/1000*INICIO!$D$50</f>
        <v>1.6042158269137965</v>
      </c>
      <c r="AL22" s="56">
        <f>+AJ22/1000*INICIO!$D$50</f>
        <v>32.084316538275928</v>
      </c>
      <c r="AM22" s="57" t="str">
        <f>+INICIO!$C$30</f>
        <v>UVG_B_Kg</v>
      </c>
    </row>
    <row r="23" spans="1:39" ht="15" x14ac:dyDescent="0.25">
      <c r="A23" s="24">
        <v>2</v>
      </c>
      <c r="B23" s="25">
        <f>'1BASE'!A23</f>
        <v>9</v>
      </c>
      <c r="C23" s="24">
        <f>'1BASE'!B23</f>
        <v>0</v>
      </c>
      <c r="D23" s="26">
        <f>'1BASE'!C23</f>
        <v>42.5</v>
      </c>
      <c r="E23" s="27">
        <f>'1BASE'!D23</f>
        <v>0</v>
      </c>
      <c r="F23" s="27">
        <f>'1BASE'!E23</f>
        <v>0</v>
      </c>
      <c r="G23" s="27"/>
      <c r="H23" s="26">
        <f>'1BASE'!F23</f>
        <v>0</v>
      </c>
      <c r="I23" s="24">
        <f>'1BASE'!G23</f>
        <v>0</v>
      </c>
      <c r="J23" s="24">
        <f>'1BASE'!H23</f>
        <v>0</v>
      </c>
      <c r="K23" s="24"/>
      <c r="L23" s="24"/>
      <c r="M23" s="24"/>
      <c r="N23" s="24"/>
      <c r="O23" s="24"/>
      <c r="P23" s="24"/>
      <c r="Q23" s="24"/>
      <c r="R23" s="24"/>
      <c r="S23" s="5"/>
      <c r="T23" s="5"/>
      <c r="U23" s="1" t="s">
        <v>96</v>
      </c>
      <c r="V23" s="11">
        <v>0.05</v>
      </c>
      <c r="W23" s="1">
        <f>+INICIO!$C$34</f>
        <v>2014</v>
      </c>
      <c r="X23" s="1" t="str">
        <f>+INICIO!$B$32</f>
        <v>LATIFOLIADO</v>
      </c>
      <c r="Y23" s="50" t="str">
        <f t="shared" si="0"/>
        <v>DEJAR</v>
      </c>
      <c r="Z23" s="50" t="str">
        <f t="shared" si="1"/>
        <v>DEJAR</v>
      </c>
      <c r="AA23" s="50" t="str">
        <f t="shared" si="2"/>
        <v>DEJAR</v>
      </c>
      <c r="AB23" s="50" t="str">
        <f t="shared" si="3"/>
        <v>DEJAR</v>
      </c>
      <c r="AC23" s="52">
        <f t="shared" si="4"/>
        <v>0.14186254326366407</v>
      </c>
      <c r="AD23" s="52">
        <f t="shared" si="5"/>
        <v>2.8372508652732811</v>
      </c>
      <c r="AE23" s="52">
        <f>+IF(X23=INICIO!$B$31,0.15991*D23^2.32764,AND(X23=INICIO!$B$32)*0.13657*D23^2.38351)</f>
        <v>1039.0503861030206</v>
      </c>
      <c r="AF23" s="52">
        <f t="shared" si="6"/>
        <v>20781.007722060411</v>
      </c>
      <c r="AG23" s="52">
        <f>+AE23/1000*INICIO!$D$50</f>
        <v>0.48835368146841968</v>
      </c>
      <c r="AH23" s="52">
        <f>+AF23/1000*INICIO!$D$50</f>
        <v>9.7670736293683937</v>
      </c>
      <c r="AI23" s="55">
        <f>+IF(X23=INICIO!$B$31,IF(D23&lt;=82,0.15991*D23^2.32764, 0.15991*82^2.32764),AND(X23=INICIO!$B$32)*IF(D23&lt;=79.9,0.13657*D23^2.38351,0.13657*79.9^2.38351))</f>
        <v>1039.0503861030206</v>
      </c>
      <c r="AJ23" s="56">
        <f t="shared" si="7"/>
        <v>20781.007722060411</v>
      </c>
      <c r="AK23" s="56">
        <f>+AI23/1000*INICIO!$D$50</f>
        <v>0.48835368146841968</v>
      </c>
      <c r="AL23" s="56">
        <f>+AJ23/1000*INICIO!$D$50</f>
        <v>9.7670736293683937</v>
      </c>
      <c r="AM23" s="57" t="str">
        <f>+INICIO!$C$30</f>
        <v>UVG_B_Kg</v>
      </c>
    </row>
    <row r="24" spans="1:39" ht="15" x14ac:dyDescent="0.25">
      <c r="A24" s="24">
        <v>2</v>
      </c>
      <c r="B24" s="25">
        <f>'1BASE'!A24</f>
        <v>10</v>
      </c>
      <c r="C24" s="24">
        <f>'1BASE'!B24</f>
        <v>0</v>
      </c>
      <c r="D24" s="26">
        <f>'1BASE'!C24</f>
        <v>68.5</v>
      </c>
      <c r="E24" s="27">
        <f>'1BASE'!D24</f>
        <v>0</v>
      </c>
      <c r="F24" s="27">
        <f>'1BASE'!E24</f>
        <v>0</v>
      </c>
      <c r="G24" s="27"/>
      <c r="H24" s="26">
        <f>'1BASE'!F24</f>
        <v>14.9</v>
      </c>
      <c r="I24" s="24">
        <f>'1BASE'!G24</f>
        <v>0</v>
      </c>
      <c r="J24" s="24">
        <f>'1BASE'!H24</f>
        <v>0</v>
      </c>
      <c r="K24" s="24"/>
      <c r="L24" s="24"/>
      <c r="M24" s="24"/>
      <c r="N24" s="24"/>
      <c r="O24" s="24"/>
      <c r="P24" s="24"/>
      <c r="Q24" s="24"/>
      <c r="R24" s="24"/>
      <c r="S24" s="5"/>
      <c r="T24" s="5"/>
      <c r="U24" s="1" t="s">
        <v>96</v>
      </c>
      <c r="V24" s="11">
        <v>0.05</v>
      </c>
      <c r="W24" s="1">
        <f>+INICIO!$C$34</f>
        <v>2014</v>
      </c>
      <c r="X24" s="1" t="str">
        <f>+INICIO!$B$32</f>
        <v>LATIFOLIADO</v>
      </c>
      <c r="Y24" s="50" t="str">
        <f t="shared" si="0"/>
        <v>DEJAR</v>
      </c>
      <c r="Z24" s="50" t="str">
        <f t="shared" si="1"/>
        <v>DEJAR</v>
      </c>
      <c r="AA24" s="50" t="str">
        <f t="shared" si="2"/>
        <v>DEJAR</v>
      </c>
      <c r="AB24" s="50" t="str">
        <f t="shared" si="3"/>
        <v>DEJAR</v>
      </c>
      <c r="AC24" s="52">
        <f t="shared" si="4"/>
        <v>0.3685284532201677</v>
      </c>
      <c r="AD24" s="52">
        <f t="shared" si="5"/>
        <v>7.3705690644033535</v>
      </c>
      <c r="AE24" s="52">
        <f>+IF(X24=INICIO!$B$31,0.15991*D24^2.32764,AND(X24=INICIO!$B$32)*0.13657*D24^2.38351)</f>
        <v>3241.4710220184052</v>
      </c>
      <c r="AF24" s="52">
        <f t="shared" si="6"/>
        <v>64829.4204403681</v>
      </c>
      <c r="AG24" s="52">
        <f>+AE24/1000*INICIO!$D$50</f>
        <v>1.5234913803486503</v>
      </c>
      <c r="AH24" s="52">
        <f>+AF24/1000*INICIO!$D$50</f>
        <v>30.469827606973002</v>
      </c>
      <c r="AI24" s="55">
        <f>+IF(X24=INICIO!$B$31,IF(D24&lt;=82,0.15991*D24^2.32764, 0.15991*82^2.32764),AND(X24=INICIO!$B$32)*IF(D24&lt;=79.9,0.13657*D24^2.38351,0.13657*79.9^2.38351))</f>
        <v>3241.4710220184052</v>
      </c>
      <c r="AJ24" s="56">
        <f t="shared" si="7"/>
        <v>64829.4204403681</v>
      </c>
      <c r="AK24" s="56">
        <f>+AI24/1000*INICIO!$D$50</f>
        <v>1.5234913803486503</v>
      </c>
      <c r="AL24" s="56">
        <f>+AJ24/1000*INICIO!$D$50</f>
        <v>30.469827606973002</v>
      </c>
      <c r="AM24" s="57" t="str">
        <f>+INICIO!$C$30</f>
        <v>UVG_B_Kg</v>
      </c>
    </row>
    <row r="25" spans="1:39" ht="15" x14ac:dyDescent="0.25">
      <c r="A25" s="24">
        <v>2</v>
      </c>
      <c r="B25" s="25">
        <f>'1BASE'!A25</f>
        <v>11</v>
      </c>
      <c r="C25" s="24">
        <f>'1BASE'!B25</f>
        <v>0</v>
      </c>
      <c r="D25" s="26">
        <f>'1BASE'!C25</f>
        <v>59</v>
      </c>
      <c r="E25" s="27">
        <f>'1BASE'!D25</f>
        <v>0</v>
      </c>
      <c r="F25" s="27">
        <f>'1BASE'!E25</f>
        <v>0</v>
      </c>
      <c r="G25" s="27"/>
      <c r="H25" s="26">
        <f>'1BASE'!F25</f>
        <v>0</v>
      </c>
      <c r="I25" s="24">
        <f>'1BASE'!G25</f>
        <v>0</v>
      </c>
      <c r="J25" s="24">
        <f>'1BASE'!H25</f>
        <v>0</v>
      </c>
      <c r="K25" s="24"/>
      <c r="L25" s="24"/>
      <c r="M25" s="24"/>
      <c r="N25" s="24"/>
      <c r="O25" s="24"/>
      <c r="P25" s="24"/>
      <c r="Q25" s="24"/>
      <c r="R25" s="24"/>
      <c r="S25" s="5"/>
      <c r="T25" s="5"/>
      <c r="U25" s="1" t="s">
        <v>96</v>
      </c>
      <c r="V25" s="11">
        <v>0.05</v>
      </c>
      <c r="W25" s="1">
        <f>+INICIO!$C$34</f>
        <v>2014</v>
      </c>
      <c r="X25" s="1" t="str">
        <f>+INICIO!$B$32</f>
        <v>LATIFOLIADO</v>
      </c>
      <c r="Y25" s="50" t="str">
        <f t="shared" si="0"/>
        <v>DEJAR</v>
      </c>
      <c r="Z25" s="50" t="str">
        <f t="shared" si="1"/>
        <v>DEJAR</v>
      </c>
      <c r="AA25" s="50" t="str">
        <f t="shared" si="2"/>
        <v>DEJAR</v>
      </c>
      <c r="AB25" s="50" t="str">
        <f t="shared" si="3"/>
        <v>DEJAR</v>
      </c>
      <c r="AC25" s="52">
        <f t="shared" si="4"/>
        <v>0.27339710067865169</v>
      </c>
      <c r="AD25" s="52">
        <f t="shared" si="5"/>
        <v>5.4679420135730332</v>
      </c>
      <c r="AE25" s="52">
        <f>+IF(X25=INICIO!$B$31,0.15991*D25^2.32764,AND(X25=INICIO!$B$32)*0.13657*D25^2.38351)</f>
        <v>2270.9040648267419</v>
      </c>
      <c r="AF25" s="52">
        <f t="shared" si="6"/>
        <v>45418.081296534838</v>
      </c>
      <c r="AG25" s="52">
        <f>+AE25/1000*INICIO!$D$50</f>
        <v>1.0673249104685687</v>
      </c>
      <c r="AH25" s="52">
        <f>+AF25/1000*INICIO!$D$50</f>
        <v>21.346498209371372</v>
      </c>
      <c r="AI25" s="55">
        <f>+IF(X25=INICIO!$B$31,IF(D25&lt;=82,0.15991*D25^2.32764, 0.15991*82^2.32764),AND(X25=INICIO!$B$32)*IF(D25&lt;=79.9,0.13657*D25^2.38351,0.13657*79.9^2.38351))</f>
        <v>2270.9040648267419</v>
      </c>
      <c r="AJ25" s="56">
        <f t="shared" si="7"/>
        <v>45418.081296534838</v>
      </c>
      <c r="AK25" s="56">
        <f>+AI25/1000*INICIO!$D$50</f>
        <v>1.0673249104685687</v>
      </c>
      <c r="AL25" s="56">
        <f>+AJ25/1000*INICIO!$D$50</f>
        <v>21.346498209371372</v>
      </c>
      <c r="AM25" s="57" t="str">
        <f>+INICIO!$C$30</f>
        <v>UVG_B_Kg</v>
      </c>
    </row>
    <row r="26" spans="1:39" ht="15" x14ac:dyDescent="0.25">
      <c r="A26" s="24">
        <v>2</v>
      </c>
      <c r="B26" s="25">
        <f>'1BASE'!A26</f>
        <v>12</v>
      </c>
      <c r="C26" s="24">
        <f>'1BASE'!B26</f>
        <v>0</v>
      </c>
      <c r="D26" s="26">
        <f>'1BASE'!C26</f>
        <v>40</v>
      </c>
      <c r="E26" s="27">
        <f>'1BASE'!D26</f>
        <v>0</v>
      </c>
      <c r="F26" s="27">
        <f>'1BASE'!E26</f>
        <v>0</v>
      </c>
      <c r="G26" s="27"/>
      <c r="H26" s="26">
        <f>'1BASE'!F26</f>
        <v>0</v>
      </c>
      <c r="I26" s="24">
        <f>'1BASE'!G26</f>
        <v>0</v>
      </c>
      <c r="J26" s="24">
        <f>'1BASE'!H26</f>
        <v>0</v>
      </c>
      <c r="K26" s="24"/>
      <c r="L26" s="24"/>
      <c r="M26" s="24"/>
      <c r="N26" s="24"/>
      <c r="O26" s="24"/>
      <c r="P26" s="24"/>
      <c r="Q26" s="24"/>
      <c r="R26" s="24"/>
      <c r="S26" s="5"/>
      <c r="T26" s="5"/>
      <c r="U26" s="1" t="s">
        <v>96</v>
      </c>
      <c r="V26" s="11">
        <v>0.05</v>
      </c>
      <c r="W26" s="1">
        <f>+INICIO!$C$34</f>
        <v>2014</v>
      </c>
      <c r="X26" s="1" t="str">
        <f>+INICIO!$B$32</f>
        <v>LATIFOLIADO</v>
      </c>
      <c r="Y26" s="50" t="str">
        <f t="shared" si="0"/>
        <v>DEJAR</v>
      </c>
      <c r="Z26" s="50" t="str">
        <f t="shared" si="1"/>
        <v>DEJAR</v>
      </c>
      <c r="AA26" s="50" t="str">
        <f t="shared" si="2"/>
        <v>DEJAR</v>
      </c>
      <c r="AB26" s="50" t="str">
        <f t="shared" si="3"/>
        <v>DEJAR</v>
      </c>
      <c r="AC26" s="52">
        <f t="shared" si="4"/>
        <v>0.12566370614359174</v>
      </c>
      <c r="AD26" s="52">
        <f t="shared" si="5"/>
        <v>2.5132741228718345</v>
      </c>
      <c r="AE26" s="52">
        <f>+IF(X26=INICIO!$B$31,0.15991*D26^2.32764,AND(X26=INICIO!$B$32)*0.13657*D26^2.38351)</f>
        <v>899.25180732127308</v>
      </c>
      <c r="AF26" s="52">
        <f t="shared" si="6"/>
        <v>17985.03614642546</v>
      </c>
      <c r="AG26" s="52">
        <f>+AE26/1000*INICIO!$D$50</f>
        <v>0.42264834944099833</v>
      </c>
      <c r="AH26" s="52">
        <f>+AF26/1000*INICIO!$D$50</f>
        <v>8.4529669888199663</v>
      </c>
      <c r="AI26" s="55">
        <f>+IF(X26=INICIO!$B$31,IF(D26&lt;=82,0.15991*D26^2.32764, 0.15991*82^2.32764),AND(X26=INICIO!$B$32)*IF(D26&lt;=79.9,0.13657*D26^2.38351,0.13657*79.9^2.38351))</f>
        <v>899.25180732127308</v>
      </c>
      <c r="AJ26" s="56">
        <f t="shared" si="7"/>
        <v>17985.03614642546</v>
      </c>
      <c r="AK26" s="56">
        <f>+AI26/1000*INICIO!$D$50</f>
        <v>0.42264834944099833</v>
      </c>
      <c r="AL26" s="56">
        <f>+AJ26/1000*INICIO!$D$50</f>
        <v>8.4529669888199663</v>
      </c>
      <c r="AM26" s="57" t="str">
        <f>+INICIO!$C$30</f>
        <v>UVG_B_Kg</v>
      </c>
    </row>
    <row r="27" spans="1:39" ht="15" x14ac:dyDescent="0.25">
      <c r="A27" s="24">
        <v>2</v>
      </c>
      <c r="B27" s="25">
        <f>'1BASE'!A27</f>
        <v>13</v>
      </c>
      <c r="C27" s="24">
        <f>'1BASE'!B27</f>
        <v>0</v>
      </c>
      <c r="D27" s="26">
        <f>'1BASE'!C27</f>
        <v>22</v>
      </c>
      <c r="E27" s="27">
        <f>'1BASE'!D27</f>
        <v>0</v>
      </c>
      <c r="F27" s="27">
        <f>'1BASE'!E27</f>
        <v>0</v>
      </c>
      <c r="G27" s="27"/>
      <c r="H27" s="26">
        <f>'1BASE'!F27</f>
        <v>0</v>
      </c>
      <c r="I27" s="24">
        <f>'1BASE'!G27</f>
        <v>0</v>
      </c>
      <c r="J27" s="24">
        <f>'1BASE'!H27</f>
        <v>0</v>
      </c>
      <c r="K27" s="24"/>
      <c r="L27" s="24"/>
      <c r="M27" s="24"/>
      <c r="N27" s="24"/>
      <c r="O27" s="24"/>
      <c r="P27" s="24"/>
      <c r="Q27" s="24"/>
      <c r="R27" s="24"/>
      <c r="S27" s="5"/>
      <c r="T27" s="5"/>
      <c r="U27" s="1" t="s">
        <v>96</v>
      </c>
      <c r="V27" s="11">
        <v>0.05</v>
      </c>
      <c r="W27" s="1">
        <f>+INICIO!$C$34</f>
        <v>2014</v>
      </c>
      <c r="X27" s="1" t="str">
        <f>+INICIO!$B$32</f>
        <v>LATIFOLIADO</v>
      </c>
      <c r="Y27" s="50" t="str">
        <f t="shared" si="0"/>
        <v>DEJAR</v>
      </c>
      <c r="Z27" s="50" t="str">
        <f t="shared" si="1"/>
        <v>DEJAR</v>
      </c>
      <c r="AA27" s="50" t="str">
        <f t="shared" si="2"/>
        <v>DEJAR</v>
      </c>
      <c r="AB27" s="50" t="str">
        <f t="shared" si="3"/>
        <v>DEJAR</v>
      </c>
      <c r="AC27" s="52">
        <f t="shared" si="4"/>
        <v>3.8013271108436497E-2</v>
      </c>
      <c r="AD27" s="52">
        <f t="shared" si="5"/>
        <v>0.76026542216872994</v>
      </c>
      <c r="AE27" s="52">
        <f>+IF(X27=INICIO!$B$31,0.15991*D27^2.32764,AND(X27=INICIO!$B$32)*0.13657*D27^2.38351)</f>
        <v>216.2883827856152</v>
      </c>
      <c r="AF27" s="52">
        <f t="shared" si="6"/>
        <v>4325.7676557123041</v>
      </c>
      <c r="AG27" s="52">
        <f>+AE27/1000*INICIO!$D$50</f>
        <v>0.10165553990923913</v>
      </c>
      <c r="AH27" s="52">
        <f>+AF27/1000*INICIO!$D$50</f>
        <v>2.0331107981847829</v>
      </c>
      <c r="AI27" s="55">
        <f>+IF(X27=INICIO!$B$31,IF(D27&lt;=82,0.15991*D27^2.32764, 0.15991*82^2.32764),AND(X27=INICIO!$B$32)*IF(D27&lt;=79.9,0.13657*D27^2.38351,0.13657*79.9^2.38351))</f>
        <v>216.2883827856152</v>
      </c>
      <c r="AJ27" s="56">
        <f t="shared" si="7"/>
        <v>4325.7676557123041</v>
      </c>
      <c r="AK27" s="56">
        <f>+AI27/1000*INICIO!$D$50</f>
        <v>0.10165553990923913</v>
      </c>
      <c r="AL27" s="56">
        <f>+AJ27/1000*INICIO!$D$50</f>
        <v>2.0331107981847829</v>
      </c>
      <c r="AM27" s="57" t="str">
        <f>+INICIO!$C$30</f>
        <v>UVG_B_Kg</v>
      </c>
    </row>
    <row r="28" spans="1:39" ht="15" x14ac:dyDescent="0.25">
      <c r="A28" s="24">
        <v>3</v>
      </c>
      <c r="B28" s="25">
        <f>'1BASE'!A28</f>
        <v>1</v>
      </c>
      <c r="C28" s="24" t="str">
        <f>'1BASE'!B28</f>
        <v>Agua Catillo</v>
      </c>
      <c r="D28" s="26">
        <f>'1BASE'!C28</f>
        <v>74.5</v>
      </c>
      <c r="E28" s="27">
        <f>'1BASE'!D28</f>
        <v>60</v>
      </c>
      <c r="F28" s="27">
        <f>'1BASE'!E28</f>
        <v>140</v>
      </c>
      <c r="G28" s="27">
        <f>(TAN(RADIANS(E28))*20)+(TAN(RADIANS(F28))*20)</f>
        <v>17.859023527831926</v>
      </c>
      <c r="H28" s="26">
        <f>'1BASE'!F28</f>
        <v>10</v>
      </c>
      <c r="I28" s="22" t="str">
        <f>'1BASE'!G28</f>
        <v>X</v>
      </c>
      <c r="J28" s="22" t="str">
        <f>'1BASE'!H28</f>
        <v>Y</v>
      </c>
      <c r="K28" s="24"/>
      <c r="L28" s="24"/>
      <c r="M28" s="24"/>
      <c r="N28" s="24"/>
      <c r="O28" s="24"/>
      <c r="P28" s="24"/>
      <c r="Q28" s="24"/>
      <c r="R28" s="24"/>
      <c r="S28" s="5"/>
      <c r="T28" s="5"/>
      <c r="U28" s="1" t="s">
        <v>96</v>
      </c>
      <c r="V28" s="11">
        <v>0.05</v>
      </c>
      <c r="W28" s="1">
        <f>+INICIO!$C$34</f>
        <v>2014</v>
      </c>
      <c r="X28" s="1" t="str">
        <f>+INICIO!$B$32</f>
        <v>LATIFOLIADO</v>
      </c>
      <c r="Y28" s="50" t="str">
        <f t="shared" si="0"/>
        <v>DEJAR</v>
      </c>
      <c r="Z28" s="50" t="str">
        <f t="shared" si="1"/>
        <v>DEJAR</v>
      </c>
      <c r="AA28" s="50" t="str">
        <f t="shared" si="2"/>
        <v>DEJAR</v>
      </c>
      <c r="AB28" s="50" t="str">
        <f t="shared" si="3"/>
        <v>DEJAR</v>
      </c>
      <c r="AC28" s="52">
        <f t="shared" si="4"/>
        <v>0.43591561563966874</v>
      </c>
      <c r="AD28" s="52">
        <f t="shared" si="5"/>
        <v>8.7183123127933744</v>
      </c>
      <c r="AE28" s="52">
        <f>+IF(X28=INICIO!$B$31,0.15991*D28^2.32764,AND(X28=INICIO!$B$32)*0.13657*D28^2.38351)</f>
        <v>3959.6655675995289</v>
      </c>
      <c r="AF28" s="52">
        <f t="shared" si="6"/>
        <v>79193.311351990575</v>
      </c>
      <c r="AG28" s="52">
        <f>+AE28/1000*INICIO!$D$50</f>
        <v>1.8610428167717785</v>
      </c>
      <c r="AH28" s="52">
        <f>+AF28/1000*INICIO!$D$50</f>
        <v>37.22085633543557</v>
      </c>
      <c r="AI28" s="55">
        <f>+IF(X28=INICIO!$B$31,IF(D28&lt;=82,0.15991*D28^2.32764, 0.15991*82^2.32764),AND(X28=INICIO!$B$32)*IF(D28&lt;=79.9,0.13657*D28^2.38351,0.13657*79.9^2.38351))</f>
        <v>3959.6655675995289</v>
      </c>
      <c r="AJ28" s="56">
        <f t="shared" si="7"/>
        <v>79193.311351990575</v>
      </c>
      <c r="AK28" s="56">
        <f>+AI28/1000*INICIO!$D$50</f>
        <v>1.8610428167717785</v>
      </c>
      <c r="AL28" s="56">
        <f>+AJ28/1000*INICIO!$D$50</f>
        <v>37.22085633543557</v>
      </c>
      <c r="AM28" s="57" t="str">
        <f>+INICIO!$C$30</f>
        <v>UVG_B_Kg</v>
      </c>
    </row>
    <row r="29" spans="1:39" ht="15" x14ac:dyDescent="0.25">
      <c r="A29" s="24">
        <v>3</v>
      </c>
      <c r="B29" s="25">
        <f>'1BASE'!A29</f>
        <v>2</v>
      </c>
      <c r="C29" s="24">
        <f>'1BASE'!B29</f>
        <v>0</v>
      </c>
      <c r="D29" s="26">
        <f>'1BASE'!C29</f>
        <v>50.4</v>
      </c>
      <c r="E29" s="27">
        <f>'1BASE'!D29</f>
        <v>0</v>
      </c>
      <c r="F29" s="27">
        <f>'1BASE'!E29</f>
        <v>0</v>
      </c>
      <c r="G29" s="27"/>
      <c r="H29" s="26">
        <f>'1BASE'!F29</f>
        <v>0</v>
      </c>
      <c r="I29" s="22" t="str">
        <f>'1BASE'!G29</f>
        <v>88° 38' 51.0''</v>
      </c>
      <c r="J29" s="22" t="str">
        <f>'1BASE'!H29</f>
        <v>15° 41' 6.0''</v>
      </c>
      <c r="K29" s="24" t="str">
        <f>LEFT(I29,2)</f>
        <v>88</v>
      </c>
      <c r="L29" s="24" t="str">
        <f>+LEFT(RIGHT(I29,10),2)</f>
        <v>38</v>
      </c>
      <c r="M29" s="24" t="str">
        <f>+LEFT(RIGHT(I29,6),4)</f>
        <v>51.0</v>
      </c>
      <c r="N29" s="24">
        <f>(K29+((L29+(M29/60)/60)/60))*-1</f>
        <v>-88.633569444444447</v>
      </c>
      <c r="O29" s="24" t="str">
        <f>LEFT(J29,2)</f>
        <v>15</v>
      </c>
      <c r="P29" s="24" t="str">
        <f>+LEFT(RIGHT(J29,9),2)</f>
        <v>41</v>
      </c>
      <c r="Q29" s="24" t="str">
        <f>+LEFT(RIGHT(J29,6),4)</f>
        <v xml:space="preserve"> 6.0</v>
      </c>
      <c r="R29" s="24">
        <f>O29+((P29+(Q29/60)/60)/60)</f>
        <v>15.683361111111111</v>
      </c>
      <c r="S29" s="11">
        <v>700074.22583300003</v>
      </c>
      <c r="T29" s="11">
        <v>1735139.11277</v>
      </c>
      <c r="U29" s="1" t="s">
        <v>96</v>
      </c>
      <c r="V29" s="11">
        <v>0.05</v>
      </c>
      <c r="W29" s="1">
        <f>+INICIO!$C$34</f>
        <v>2014</v>
      </c>
      <c r="X29" s="1" t="str">
        <f>+INICIO!$B$32</f>
        <v>LATIFOLIADO</v>
      </c>
      <c r="Y29" s="50" t="str">
        <f t="shared" si="0"/>
        <v>DEJAR</v>
      </c>
      <c r="Z29" s="50" t="str">
        <f t="shared" si="1"/>
        <v>DEJAR</v>
      </c>
      <c r="AA29" s="50" t="str">
        <f t="shared" si="2"/>
        <v>DEJAR</v>
      </c>
      <c r="AB29" s="50" t="str">
        <f t="shared" si="3"/>
        <v>DEJAR</v>
      </c>
      <c r="AC29" s="52">
        <f t="shared" si="4"/>
        <v>0.19950369987356623</v>
      </c>
      <c r="AD29" s="52">
        <f t="shared" si="5"/>
        <v>3.9900739974713244</v>
      </c>
      <c r="AE29" s="52">
        <f>+IF(X29=INICIO!$B$31,0.15991*D29^2.32764,AND(X29=INICIO!$B$32)*0.13657*D29^2.38351)</f>
        <v>1559.9673810111622</v>
      </c>
      <c r="AF29" s="52">
        <f t="shared" si="6"/>
        <v>31199.347620223241</v>
      </c>
      <c r="AG29" s="52">
        <f>+AE29/1000*INICIO!$D$50</f>
        <v>0.73318466907524615</v>
      </c>
      <c r="AH29" s="52">
        <f>+AF29/1000*INICIO!$D$50</f>
        <v>14.663693381504924</v>
      </c>
      <c r="AI29" s="55">
        <f>+IF(X29=INICIO!$B$31,IF(D29&lt;=82,0.15991*D29^2.32764, 0.15991*82^2.32764),AND(X29=INICIO!$B$32)*IF(D29&lt;=79.9,0.13657*D29^2.38351,0.13657*79.9^2.38351))</f>
        <v>1559.9673810111622</v>
      </c>
      <c r="AJ29" s="56">
        <f t="shared" si="7"/>
        <v>31199.347620223241</v>
      </c>
      <c r="AK29" s="56">
        <f>+AI29/1000*INICIO!$D$50</f>
        <v>0.73318466907524615</v>
      </c>
      <c r="AL29" s="56">
        <f>+AJ29/1000*INICIO!$D$50</f>
        <v>14.663693381504924</v>
      </c>
      <c r="AM29" s="57" t="str">
        <f>+INICIO!$C$30</f>
        <v>UVG_B_Kg</v>
      </c>
    </row>
    <row r="30" spans="1:39" ht="15" x14ac:dyDescent="0.25">
      <c r="A30" s="24">
        <v>3</v>
      </c>
      <c r="B30" s="25">
        <f>'1BASE'!A30</f>
        <v>3</v>
      </c>
      <c r="C30" s="24">
        <f>'1BASE'!B30</f>
        <v>0</v>
      </c>
      <c r="D30" s="26">
        <f>'1BASE'!C30</f>
        <v>55</v>
      </c>
      <c r="E30" s="27">
        <f>'1BASE'!D30</f>
        <v>0</v>
      </c>
      <c r="F30" s="27">
        <f>'1BASE'!E30</f>
        <v>0</v>
      </c>
      <c r="G30" s="27"/>
      <c r="H30" s="26">
        <f>'1BASE'!F30</f>
        <v>0</v>
      </c>
      <c r="I30" s="24">
        <f>'1BASE'!G30</f>
        <v>0</v>
      </c>
      <c r="J30" s="24">
        <f>'1BASE'!H30</f>
        <v>0</v>
      </c>
      <c r="K30" s="24"/>
      <c r="L30" s="24"/>
      <c r="M30" s="24"/>
      <c r="N30" s="24"/>
      <c r="O30" s="24"/>
      <c r="P30" s="24"/>
      <c r="Q30" s="24"/>
      <c r="R30" s="24"/>
      <c r="S30" s="5"/>
      <c r="T30" s="5"/>
      <c r="U30" s="1" t="s">
        <v>96</v>
      </c>
      <c r="V30" s="11">
        <v>0.05</v>
      </c>
      <c r="W30" s="1">
        <f>+INICIO!$C$34</f>
        <v>2014</v>
      </c>
      <c r="X30" s="1" t="str">
        <f>+INICIO!$B$32</f>
        <v>LATIFOLIADO</v>
      </c>
      <c r="Y30" s="50" t="str">
        <f t="shared" si="0"/>
        <v>DEJAR</v>
      </c>
      <c r="Z30" s="50" t="str">
        <f t="shared" si="1"/>
        <v>DEJAR</v>
      </c>
      <c r="AA30" s="50" t="str">
        <f t="shared" si="2"/>
        <v>DEJAR</v>
      </c>
      <c r="AB30" s="50" t="str">
        <f t="shared" si="3"/>
        <v>DEJAR</v>
      </c>
      <c r="AC30" s="52">
        <f t="shared" si="4"/>
        <v>0.23758294442772815</v>
      </c>
      <c r="AD30" s="52">
        <f t="shared" si="5"/>
        <v>4.7516588885545623</v>
      </c>
      <c r="AE30" s="52">
        <f>+IF(X30=INICIO!$B$31,0.15991*D30^2.32764,AND(X30=INICIO!$B$32)*0.13657*D30^2.38351)</f>
        <v>1920.9991975467647</v>
      </c>
      <c r="AF30" s="52">
        <f t="shared" si="6"/>
        <v>38419.98395093529</v>
      </c>
      <c r="AG30" s="52">
        <f>+AE30/1000*INICIO!$D$50</f>
        <v>0.90286962284697936</v>
      </c>
      <c r="AH30" s="52">
        <f>+AF30/1000*INICIO!$D$50</f>
        <v>18.057392456939585</v>
      </c>
      <c r="AI30" s="55">
        <f>+IF(X30=INICIO!$B$31,IF(D30&lt;=82,0.15991*D30^2.32764, 0.15991*82^2.32764),AND(X30=INICIO!$B$32)*IF(D30&lt;=79.9,0.13657*D30^2.38351,0.13657*79.9^2.38351))</f>
        <v>1920.9991975467647</v>
      </c>
      <c r="AJ30" s="56">
        <f t="shared" si="7"/>
        <v>38419.98395093529</v>
      </c>
      <c r="AK30" s="56">
        <f>+AI30/1000*INICIO!$D$50</f>
        <v>0.90286962284697936</v>
      </c>
      <c r="AL30" s="56">
        <f>+AJ30/1000*INICIO!$D$50</f>
        <v>18.057392456939585</v>
      </c>
      <c r="AM30" s="57" t="str">
        <f>+INICIO!$C$30</f>
        <v>UVG_B_Kg</v>
      </c>
    </row>
    <row r="31" spans="1:39" ht="15" x14ac:dyDescent="0.25">
      <c r="A31" s="24">
        <v>3</v>
      </c>
      <c r="B31" s="25">
        <f>'1BASE'!A31</f>
        <v>4</v>
      </c>
      <c r="C31" s="24">
        <f>'1BASE'!B31</f>
        <v>0</v>
      </c>
      <c r="D31" s="26">
        <f>'1BASE'!C31</f>
        <v>19</v>
      </c>
      <c r="E31" s="27">
        <f>'1BASE'!D31</f>
        <v>0</v>
      </c>
      <c r="F31" s="27">
        <f>'1BASE'!E31</f>
        <v>0</v>
      </c>
      <c r="G31" s="27"/>
      <c r="H31" s="26">
        <f>'1BASE'!F31</f>
        <v>0</v>
      </c>
      <c r="I31" s="24">
        <f>'1BASE'!G31</f>
        <v>0</v>
      </c>
      <c r="J31" s="24">
        <f>'1BASE'!H31</f>
        <v>0</v>
      </c>
      <c r="K31" s="24"/>
      <c r="L31" s="24"/>
      <c r="M31" s="24"/>
      <c r="N31" s="24"/>
      <c r="O31" s="24"/>
      <c r="P31" s="24"/>
      <c r="Q31" s="24"/>
      <c r="R31" s="24"/>
      <c r="S31" s="5"/>
      <c r="T31" s="5"/>
      <c r="U31" s="1" t="s">
        <v>96</v>
      </c>
      <c r="V31" s="11">
        <v>0.05</v>
      </c>
      <c r="W31" s="1">
        <f>+INICIO!$C$34</f>
        <v>2014</v>
      </c>
      <c r="X31" s="1" t="str">
        <f>+INICIO!$B$32</f>
        <v>LATIFOLIADO</v>
      </c>
      <c r="Y31" s="50" t="str">
        <f t="shared" si="0"/>
        <v>DEJAR</v>
      </c>
      <c r="Z31" s="50" t="str">
        <f t="shared" si="1"/>
        <v>DEJAR</v>
      </c>
      <c r="AA31" s="50" t="str">
        <f t="shared" si="2"/>
        <v>DEJAR</v>
      </c>
      <c r="AB31" s="50" t="str">
        <f t="shared" si="3"/>
        <v>DEJAR</v>
      </c>
      <c r="AC31" s="52">
        <f t="shared" si="4"/>
        <v>2.8352873698647883E-2</v>
      </c>
      <c r="AD31" s="52">
        <f t="shared" si="5"/>
        <v>0.56705747397295758</v>
      </c>
      <c r="AE31" s="52">
        <f>+IF(X31=INICIO!$B$31,0.15991*D31^2.32764,AND(X31=INICIO!$B$32)*0.13657*D31^2.38351)</f>
        <v>152.50261995629924</v>
      </c>
      <c r="AF31" s="52">
        <f t="shared" si="6"/>
        <v>3050.0523991259847</v>
      </c>
      <c r="AG31" s="52">
        <f>+AE31/1000*INICIO!$D$50</f>
        <v>7.1676231379460636E-2</v>
      </c>
      <c r="AH31" s="52">
        <f>+AF31/1000*INICIO!$D$50</f>
        <v>1.4335246275892126</v>
      </c>
      <c r="AI31" s="55">
        <f>+IF(X31=INICIO!$B$31,IF(D31&lt;=82,0.15991*D31^2.32764, 0.15991*82^2.32764),AND(X31=INICIO!$B$32)*IF(D31&lt;=79.9,0.13657*D31^2.38351,0.13657*79.9^2.38351))</f>
        <v>152.50261995629924</v>
      </c>
      <c r="AJ31" s="56">
        <f t="shared" si="7"/>
        <v>3050.0523991259847</v>
      </c>
      <c r="AK31" s="56">
        <f>+AI31/1000*INICIO!$D$50</f>
        <v>7.1676231379460636E-2</v>
      </c>
      <c r="AL31" s="56">
        <f>+AJ31/1000*INICIO!$D$50</f>
        <v>1.4335246275892126</v>
      </c>
      <c r="AM31" s="57" t="str">
        <f>+INICIO!$C$30</f>
        <v>UVG_B_Kg</v>
      </c>
    </row>
    <row r="32" spans="1:39" ht="15" x14ac:dyDescent="0.25">
      <c r="A32" s="24">
        <v>3</v>
      </c>
      <c r="B32" s="25">
        <f>'1BASE'!A32</f>
        <v>5</v>
      </c>
      <c r="C32" s="24">
        <f>'1BASE'!B32</f>
        <v>0</v>
      </c>
      <c r="D32" s="26">
        <f>'1BASE'!C32</f>
        <v>22.5</v>
      </c>
      <c r="E32" s="27">
        <f>'1BASE'!D32</f>
        <v>0</v>
      </c>
      <c r="F32" s="27">
        <f>'1BASE'!E32</f>
        <v>0</v>
      </c>
      <c r="G32" s="27"/>
      <c r="H32" s="26">
        <f>'1BASE'!F32</f>
        <v>0</v>
      </c>
      <c r="I32" s="24">
        <f>'1BASE'!G32</f>
        <v>0</v>
      </c>
      <c r="J32" s="24">
        <f>'1BASE'!H32</f>
        <v>0</v>
      </c>
      <c r="K32" s="24"/>
      <c r="L32" s="24"/>
      <c r="M32" s="24"/>
      <c r="N32" s="24"/>
      <c r="O32" s="24"/>
      <c r="P32" s="24"/>
      <c r="Q32" s="24"/>
      <c r="R32" s="24"/>
      <c r="S32" s="5"/>
      <c r="T32" s="5"/>
      <c r="U32" s="1" t="s">
        <v>96</v>
      </c>
      <c r="V32" s="11">
        <v>0.05</v>
      </c>
      <c r="W32" s="1">
        <f>+INICIO!$C$34</f>
        <v>2014</v>
      </c>
      <c r="X32" s="1" t="str">
        <f>+INICIO!$B$32</f>
        <v>LATIFOLIADO</v>
      </c>
      <c r="Y32" s="50" t="str">
        <f t="shared" si="0"/>
        <v>DEJAR</v>
      </c>
      <c r="Z32" s="50" t="str">
        <f t="shared" si="1"/>
        <v>DEJAR</v>
      </c>
      <c r="AA32" s="50" t="str">
        <f t="shared" si="2"/>
        <v>DEJAR</v>
      </c>
      <c r="AB32" s="50" t="str">
        <f t="shared" si="3"/>
        <v>DEJAR</v>
      </c>
      <c r="AC32" s="52">
        <f t="shared" si="4"/>
        <v>3.9760782021995823E-2</v>
      </c>
      <c r="AD32" s="52">
        <f t="shared" si="5"/>
        <v>0.79521564043991644</v>
      </c>
      <c r="AE32" s="52">
        <f>+IF(X32=INICIO!$B$31,0.15991*D32^2.32764,AND(X32=INICIO!$B$32)*0.13657*D32^2.38351)</f>
        <v>228.1896084504572</v>
      </c>
      <c r="AF32" s="52">
        <f t="shared" si="6"/>
        <v>4563.7921690091434</v>
      </c>
      <c r="AG32" s="52">
        <f>+AE32/1000*INICIO!$D$50</f>
        <v>0.10724911597171487</v>
      </c>
      <c r="AH32" s="52">
        <f>+AF32/1000*INICIO!$D$50</f>
        <v>2.1449823194342974</v>
      </c>
      <c r="AI32" s="55">
        <f>+IF(X32=INICIO!$B$31,IF(D32&lt;=82,0.15991*D32^2.32764, 0.15991*82^2.32764),AND(X32=INICIO!$B$32)*IF(D32&lt;=79.9,0.13657*D32^2.38351,0.13657*79.9^2.38351))</f>
        <v>228.1896084504572</v>
      </c>
      <c r="AJ32" s="56">
        <f t="shared" si="7"/>
        <v>4563.7921690091434</v>
      </c>
      <c r="AK32" s="56">
        <f>+AI32/1000*INICIO!$D$50</f>
        <v>0.10724911597171487</v>
      </c>
      <c r="AL32" s="56">
        <f>+AJ32/1000*INICIO!$D$50</f>
        <v>2.1449823194342974</v>
      </c>
      <c r="AM32" s="57" t="str">
        <f>+INICIO!$C$30</f>
        <v>UVG_B_Kg</v>
      </c>
    </row>
    <row r="33" spans="1:39" ht="15" x14ac:dyDescent="0.25">
      <c r="A33" s="24">
        <v>3</v>
      </c>
      <c r="B33" s="25">
        <f>'1BASE'!A33</f>
        <v>6</v>
      </c>
      <c r="C33" s="24">
        <f>'1BASE'!B33</f>
        <v>0</v>
      </c>
      <c r="D33" s="26">
        <f>'1BASE'!C33</f>
        <v>50</v>
      </c>
      <c r="E33" s="27">
        <f>'1BASE'!D33</f>
        <v>60</v>
      </c>
      <c r="F33" s="27">
        <f>'1BASE'!E33</f>
        <v>90</v>
      </c>
      <c r="G33" s="32">
        <f>(TAN(RADIANS(E33))*20)+(TAN(RADIANS(F33))*20)</f>
        <v>3.264910455523815E+17</v>
      </c>
      <c r="H33" s="26">
        <f>'1BASE'!F33</f>
        <v>11</v>
      </c>
      <c r="I33" s="24">
        <f>'1BASE'!G33</f>
        <v>0</v>
      </c>
      <c r="J33" s="24">
        <f>'1BASE'!H33</f>
        <v>0</v>
      </c>
      <c r="K33" s="24"/>
      <c r="L33" s="24"/>
      <c r="M33" s="24"/>
      <c r="N33" s="24"/>
      <c r="O33" s="24"/>
      <c r="P33" s="24"/>
      <c r="Q33" s="24"/>
      <c r="R33" s="24"/>
      <c r="S33" s="5"/>
      <c r="T33" s="5"/>
      <c r="U33" s="1" t="s">
        <v>96</v>
      </c>
      <c r="V33" s="11">
        <v>0.05</v>
      </c>
      <c r="W33" s="1">
        <f>+INICIO!$C$34</f>
        <v>2014</v>
      </c>
      <c r="X33" s="1" t="str">
        <f>+INICIO!$B$32</f>
        <v>LATIFOLIADO</v>
      </c>
      <c r="Y33" s="50" t="str">
        <f t="shared" si="0"/>
        <v>DEJAR</v>
      </c>
      <c r="Z33" s="50" t="str">
        <f t="shared" si="1"/>
        <v>DEJAR</v>
      </c>
      <c r="AA33" s="50" t="str">
        <f t="shared" si="2"/>
        <v>DEJAR</v>
      </c>
      <c r="AB33" s="50" t="str">
        <f t="shared" si="3"/>
        <v>DEJAR</v>
      </c>
      <c r="AC33" s="52">
        <f t="shared" si="4"/>
        <v>0.19634954084936207</v>
      </c>
      <c r="AD33" s="52">
        <f t="shared" si="5"/>
        <v>3.9269908169872414</v>
      </c>
      <c r="AE33" s="52">
        <f>+IF(X33=INICIO!$B$31,0.15991*D33^2.32764,AND(X33=INICIO!$B$32)*0.13657*D33^2.38351)</f>
        <v>1530.6197203780737</v>
      </c>
      <c r="AF33" s="52">
        <f t="shared" si="6"/>
        <v>30612.394407561471</v>
      </c>
      <c r="AG33" s="52">
        <f>+AE33/1000*INICIO!$D$50</f>
        <v>0.71939126857769453</v>
      </c>
      <c r="AH33" s="52">
        <f>+AF33/1000*INICIO!$D$50</f>
        <v>14.387825371553891</v>
      </c>
      <c r="AI33" s="55">
        <f>+IF(X33=INICIO!$B$31,IF(D33&lt;=82,0.15991*D33^2.32764, 0.15991*82^2.32764),AND(X33=INICIO!$B$32)*IF(D33&lt;=79.9,0.13657*D33^2.38351,0.13657*79.9^2.38351))</f>
        <v>1530.6197203780737</v>
      </c>
      <c r="AJ33" s="56">
        <f t="shared" si="7"/>
        <v>30612.394407561471</v>
      </c>
      <c r="AK33" s="56">
        <f>+AI33/1000*INICIO!$D$50</f>
        <v>0.71939126857769453</v>
      </c>
      <c r="AL33" s="56">
        <f>+AJ33/1000*INICIO!$D$50</f>
        <v>14.387825371553891</v>
      </c>
      <c r="AM33" s="57" t="str">
        <f>+INICIO!$C$30</f>
        <v>UVG_B_Kg</v>
      </c>
    </row>
    <row r="34" spans="1:39" ht="15" x14ac:dyDescent="0.25">
      <c r="A34" s="24">
        <v>3</v>
      </c>
      <c r="B34" s="25">
        <f>'1BASE'!A34</f>
        <v>7</v>
      </c>
      <c r="C34" s="24">
        <f>'1BASE'!B34</f>
        <v>0</v>
      </c>
      <c r="D34" s="26">
        <f>'1BASE'!C34</f>
        <v>18.5</v>
      </c>
      <c r="E34" s="27">
        <f>'1BASE'!D34</f>
        <v>0</v>
      </c>
      <c r="F34" s="27">
        <f>'1BASE'!E34</f>
        <v>0</v>
      </c>
      <c r="G34" s="27"/>
      <c r="H34" s="26">
        <f>'1BASE'!F34</f>
        <v>0</v>
      </c>
      <c r="I34" s="24">
        <f>'1BASE'!G34</f>
        <v>0</v>
      </c>
      <c r="J34" s="24">
        <f>'1BASE'!H34</f>
        <v>0</v>
      </c>
      <c r="K34" s="24"/>
      <c r="L34" s="24"/>
      <c r="M34" s="24"/>
      <c r="N34" s="24"/>
      <c r="O34" s="24"/>
      <c r="P34" s="24"/>
      <c r="Q34" s="24"/>
      <c r="R34" s="24"/>
      <c r="S34" s="5"/>
      <c r="T34" s="5"/>
      <c r="U34" s="1" t="s">
        <v>96</v>
      </c>
      <c r="V34" s="11">
        <v>0.05</v>
      </c>
      <c r="W34" s="1">
        <f>+INICIO!$C$34</f>
        <v>2014</v>
      </c>
      <c r="X34" s="1" t="str">
        <f>+INICIO!$B$32</f>
        <v>LATIFOLIADO</v>
      </c>
      <c r="Y34" s="50" t="str">
        <f t="shared" si="0"/>
        <v>DEJAR</v>
      </c>
      <c r="Z34" s="50" t="str">
        <f t="shared" si="1"/>
        <v>DEJAR</v>
      </c>
      <c r="AA34" s="50" t="str">
        <f t="shared" si="2"/>
        <v>DEJAR</v>
      </c>
      <c r="AB34" s="50" t="str">
        <f t="shared" si="3"/>
        <v>DEJAR</v>
      </c>
      <c r="AC34" s="52">
        <f t="shared" si="4"/>
        <v>2.6880252142277666E-2</v>
      </c>
      <c r="AD34" s="52">
        <f t="shared" si="5"/>
        <v>0.53760504284555333</v>
      </c>
      <c r="AE34" s="52">
        <f>+IF(X34=INICIO!$B$31,0.15991*D34^2.32764,AND(X34=INICIO!$B$32)*0.13657*D34^2.38351)</f>
        <v>143.11059777395243</v>
      </c>
      <c r="AF34" s="52">
        <f t="shared" si="6"/>
        <v>2862.2119554790484</v>
      </c>
      <c r="AG34" s="52">
        <f>+AE34/1000*INICIO!$D$50</f>
        <v>6.7261980953757641E-2</v>
      </c>
      <c r="AH34" s="52">
        <f>+AF34/1000*INICIO!$D$50</f>
        <v>1.3452396190751525</v>
      </c>
      <c r="AI34" s="55">
        <f>+IF(X34=INICIO!$B$31,IF(D34&lt;=82,0.15991*D34^2.32764, 0.15991*82^2.32764),AND(X34=INICIO!$B$32)*IF(D34&lt;=79.9,0.13657*D34^2.38351,0.13657*79.9^2.38351))</f>
        <v>143.11059777395243</v>
      </c>
      <c r="AJ34" s="56">
        <f t="shared" si="7"/>
        <v>2862.2119554790484</v>
      </c>
      <c r="AK34" s="56">
        <f>+AI34/1000*INICIO!$D$50</f>
        <v>6.7261980953757641E-2</v>
      </c>
      <c r="AL34" s="56">
        <f>+AJ34/1000*INICIO!$D$50</f>
        <v>1.3452396190751525</v>
      </c>
      <c r="AM34" s="57" t="str">
        <f>+INICIO!$C$30</f>
        <v>UVG_B_Kg</v>
      </c>
    </row>
    <row r="35" spans="1:39" ht="15" x14ac:dyDescent="0.25">
      <c r="A35" s="24">
        <v>3</v>
      </c>
      <c r="B35" s="25">
        <f>'1BASE'!A35</f>
        <v>8</v>
      </c>
      <c r="C35" s="24">
        <f>'1BASE'!B35</f>
        <v>0</v>
      </c>
      <c r="D35" s="26">
        <f>'1BASE'!C35</f>
        <v>62</v>
      </c>
      <c r="E35" s="27">
        <f>'1BASE'!D35</f>
        <v>20</v>
      </c>
      <c r="F35" s="27">
        <f>'1BASE'!E35</f>
        <v>140</v>
      </c>
      <c r="G35" s="32">
        <f>(TAN(RADIANS(E35))*20)+(TAN(RADIANS(F35))*20)</f>
        <v>-9.5025879382215628</v>
      </c>
      <c r="H35" s="26">
        <f>'1BASE'!F35</f>
        <v>0</v>
      </c>
      <c r="I35" s="24">
        <f>'1BASE'!G35</f>
        <v>0</v>
      </c>
      <c r="J35" s="24">
        <f>'1BASE'!H35</f>
        <v>0</v>
      </c>
      <c r="K35" s="24"/>
      <c r="L35" s="24"/>
      <c r="M35" s="24"/>
      <c r="N35" s="24"/>
      <c r="O35" s="24"/>
      <c r="P35" s="24"/>
      <c r="Q35" s="24"/>
      <c r="R35" s="24"/>
      <c r="S35" s="5"/>
      <c r="T35" s="5"/>
      <c r="U35" s="1" t="s">
        <v>96</v>
      </c>
      <c r="V35" s="11">
        <v>0.05</v>
      </c>
      <c r="W35" s="1">
        <f>+INICIO!$C$34</f>
        <v>2014</v>
      </c>
      <c r="X35" s="1" t="str">
        <f>+INICIO!$B$32</f>
        <v>LATIFOLIADO</v>
      </c>
      <c r="Y35" s="50" t="str">
        <f t="shared" si="0"/>
        <v>DEJAR</v>
      </c>
      <c r="Z35" s="50" t="str">
        <f t="shared" si="1"/>
        <v>DEJAR</v>
      </c>
      <c r="AA35" s="50" t="str">
        <f t="shared" si="2"/>
        <v>DEJAR</v>
      </c>
      <c r="AB35" s="50" t="str">
        <f t="shared" si="3"/>
        <v>DEJAR</v>
      </c>
      <c r="AC35" s="52">
        <f t="shared" si="4"/>
        <v>0.30190705400997914</v>
      </c>
      <c r="AD35" s="52">
        <f t="shared" si="5"/>
        <v>6.0381410801995825</v>
      </c>
      <c r="AE35" s="52">
        <f>+IF(X35=INICIO!$B$31,0.15991*D35^2.32764,AND(X35=INICIO!$B$32)*0.13657*D35^2.38351)</f>
        <v>2555.8703816500024</v>
      </c>
      <c r="AF35" s="52">
        <f t="shared" si="6"/>
        <v>51117.407633000046</v>
      </c>
      <c r="AG35" s="52">
        <f>+AE35/1000*INICIO!$D$50</f>
        <v>1.2012590793755011</v>
      </c>
      <c r="AH35" s="52">
        <f>+AF35/1000*INICIO!$D$50</f>
        <v>24.025181587510023</v>
      </c>
      <c r="AI35" s="55">
        <f>+IF(X35=INICIO!$B$31,IF(D35&lt;=82,0.15991*D35^2.32764, 0.15991*82^2.32764),AND(X35=INICIO!$B$32)*IF(D35&lt;=79.9,0.13657*D35^2.38351,0.13657*79.9^2.38351))</f>
        <v>2555.8703816500024</v>
      </c>
      <c r="AJ35" s="56">
        <f t="shared" si="7"/>
        <v>51117.407633000046</v>
      </c>
      <c r="AK35" s="56">
        <f>+AI35/1000*INICIO!$D$50</f>
        <v>1.2012590793755011</v>
      </c>
      <c r="AL35" s="56">
        <f>+AJ35/1000*INICIO!$D$50</f>
        <v>24.025181587510023</v>
      </c>
      <c r="AM35" s="57" t="str">
        <f>+INICIO!$C$30</f>
        <v>UVG_B_Kg</v>
      </c>
    </row>
    <row r="36" spans="1:39" ht="15" x14ac:dyDescent="0.25">
      <c r="A36" s="24">
        <v>4</v>
      </c>
      <c r="B36" s="25">
        <f>'1BASE'!A36</f>
        <v>1</v>
      </c>
      <c r="C36" s="24" t="str">
        <f>'1BASE'!B36</f>
        <v>Palo Sangre</v>
      </c>
      <c r="D36" s="26">
        <f>'1BASE'!C36</f>
        <v>82</v>
      </c>
      <c r="E36" s="27">
        <f>'1BASE'!D36</f>
        <v>60</v>
      </c>
      <c r="F36" s="27">
        <f>'1BASE'!E36</f>
        <v>140</v>
      </c>
      <c r="G36" s="27">
        <f>(TAN(RADIANS(E36))*20)+(TAN(RADIANS(F36))*20)</f>
        <v>17.859023527831926</v>
      </c>
      <c r="H36" s="26">
        <f>'1BASE'!F36</f>
        <v>15</v>
      </c>
      <c r="I36" s="22" t="str">
        <f>'1BASE'!G36</f>
        <v>X</v>
      </c>
      <c r="J36" s="22" t="str">
        <f>'1BASE'!H36</f>
        <v>Y</v>
      </c>
      <c r="K36" s="24"/>
      <c r="L36" s="24"/>
      <c r="M36" s="24"/>
      <c r="N36" s="24"/>
      <c r="O36" s="24"/>
      <c r="P36" s="24"/>
      <c r="Q36" s="24"/>
      <c r="R36" s="24"/>
      <c r="S36" s="5"/>
      <c r="T36" s="5"/>
      <c r="U36" s="1" t="s">
        <v>96</v>
      </c>
      <c r="V36" s="11">
        <v>0.05</v>
      </c>
      <c r="W36" s="1">
        <f>+INICIO!$C$34</f>
        <v>2014</v>
      </c>
      <c r="X36" s="1" t="str">
        <f>+INICIO!$B$32</f>
        <v>LATIFOLIADO</v>
      </c>
      <c r="Y36" s="50" t="str">
        <f t="shared" si="0"/>
        <v>DEJAR</v>
      </c>
      <c r="Z36" s="50" t="str">
        <f t="shared" si="1"/>
        <v>DEJAR</v>
      </c>
      <c r="AA36" s="50" t="str">
        <f t="shared" si="2"/>
        <v>DEJAR</v>
      </c>
      <c r="AB36" s="50" t="str">
        <f t="shared" si="3"/>
        <v>DEJAR</v>
      </c>
      <c r="AC36" s="52">
        <f t="shared" si="4"/>
        <v>0.52810172506844411</v>
      </c>
      <c r="AD36" s="52">
        <f t="shared" si="5"/>
        <v>10.562034501368881</v>
      </c>
      <c r="AE36" s="52">
        <f>+IF(X36=INICIO!$B$31,0.15991*D36^2.32764,AND(X36=INICIO!$B$32)*0.13657*D36^2.38351)</f>
        <v>4976.7951454037375</v>
      </c>
      <c r="AF36" s="52">
        <f t="shared" si="6"/>
        <v>99535.902908074742</v>
      </c>
      <c r="AG36" s="52">
        <f>+AE36/1000*INICIO!$D$50</f>
        <v>2.3390937183397562</v>
      </c>
      <c r="AH36" s="52">
        <f>+AF36/1000*INICIO!$D$50</f>
        <v>46.78187436679513</v>
      </c>
      <c r="AI36" s="55">
        <f>+IF(X36=INICIO!$B$31,IF(D36&lt;=82,0.15991*D36^2.32764, 0.15991*82^2.32764),AND(X36=INICIO!$B$32)*IF(D36&lt;=79.9,0.13657*D36^2.38351,0.13657*79.9^2.38351))</f>
        <v>4678.370186681871</v>
      </c>
      <c r="AJ36" s="56">
        <f t="shared" si="7"/>
        <v>93567.403733637417</v>
      </c>
      <c r="AK36" s="56">
        <f>+AI36/1000*INICIO!$D$50</f>
        <v>2.1988339877404792</v>
      </c>
      <c r="AL36" s="56">
        <f>+AJ36/1000*INICIO!$D$50</f>
        <v>43.976679754809588</v>
      </c>
      <c r="AM36" s="57" t="str">
        <f>+INICIO!$C$30</f>
        <v>UVG_B_Kg</v>
      </c>
    </row>
    <row r="37" spans="1:39" ht="15" x14ac:dyDescent="0.25">
      <c r="A37" s="24">
        <v>4</v>
      </c>
      <c r="B37" s="25">
        <f>'1BASE'!A37</f>
        <v>2</v>
      </c>
      <c r="C37" s="24">
        <f>'1BASE'!B37</f>
        <v>0</v>
      </c>
      <c r="D37" s="26">
        <f>'1BASE'!C37</f>
        <v>14</v>
      </c>
      <c r="E37" s="27">
        <f>'1BASE'!D37</f>
        <v>0</v>
      </c>
      <c r="F37" s="27">
        <f>'1BASE'!E37</f>
        <v>0</v>
      </c>
      <c r="G37" s="27"/>
      <c r="H37" s="26">
        <f>'1BASE'!F37</f>
        <v>0</v>
      </c>
      <c r="I37" s="22" t="str">
        <f>'1BASE'!G37</f>
        <v>88° 38' 49.9''</v>
      </c>
      <c r="J37" s="22" t="str">
        <f>'1BASE'!H37</f>
        <v>15° 41' 5.3''</v>
      </c>
      <c r="K37" s="24" t="str">
        <f>LEFT(I37,2)</f>
        <v>88</v>
      </c>
      <c r="L37" s="24" t="str">
        <f>+LEFT(RIGHT(I37,10),2)</f>
        <v>38</v>
      </c>
      <c r="M37" s="24" t="str">
        <f>+LEFT(RIGHT(I37,6),4)</f>
        <v>49.9</v>
      </c>
      <c r="N37" s="24">
        <f>(K37+((L37+(M37/60)/60)/60))*-1</f>
        <v>-88.633564351851845</v>
      </c>
      <c r="O37" s="24" t="str">
        <f>LEFT(J37,2)</f>
        <v>15</v>
      </c>
      <c r="P37" s="24" t="str">
        <f>+LEFT(RIGHT(J37,9),2)</f>
        <v>41</v>
      </c>
      <c r="Q37" s="24" t="str">
        <f>+LEFT(RIGHT(J37,6),4)</f>
        <v xml:space="preserve"> 5.3</v>
      </c>
      <c r="R37" s="24">
        <f>O37+((P37+(Q37/60)/60)/60)</f>
        <v>15.68335787037037</v>
      </c>
      <c r="S37" s="11">
        <v>700074.77506500005</v>
      </c>
      <c r="T37" s="11">
        <v>1735138.7588899999</v>
      </c>
      <c r="U37" s="1" t="s">
        <v>96</v>
      </c>
      <c r="V37" s="11">
        <v>0.05</v>
      </c>
      <c r="W37" s="1">
        <f>+INICIO!$C$34</f>
        <v>2014</v>
      </c>
      <c r="X37" s="1" t="str">
        <f>+INICIO!$B$32</f>
        <v>LATIFOLIADO</v>
      </c>
      <c r="Y37" s="50" t="str">
        <f t="shared" si="0"/>
        <v>DEJAR</v>
      </c>
      <c r="Z37" s="50" t="str">
        <f t="shared" si="1"/>
        <v>DEJAR</v>
      </c>
      <c r="AA37" s="50" t="str">
        <f t="shared" si="2"/>
        <v>DEJAR</v>
      </c>
      <c r="AB37" s="50" t="str">
        <f t="shared" si="3"/>
        <v>DEJAR</v>
      </c>
      <c r="AC37" s="52">
        <f t="shared" si="4"/>
        <v>1.5393804002589988E-2</v>
      </c>
      <c r="AD37" s="52">
        <f t="shared" si="5"/>
        <v>0.30787608005179973</v>
      </c>
      <c r="AE37" s="52">
        <f>+IF(X37=INICIO!$B$31,0.15991*D37^2.32764,AND(X37=INICIO!$B$32)*0.13657*D37^2.38351)</f>
        <v>73.64833681845144</v>
      </c>
      <c r="AF37" s="52">
        <f t="shared" si="6"/>
        <v>1472.9667363690287</v>
      </c>
      <c r="AG37" s="52">
        <f>+AE37/1000*INICIO!$D$50</f>
        <v>3.4614718304672172E-2</v>
      </c>
      <c r="AH37" s="52">
        <f>+AF37/1000*INICIO!$D$50</f>
        <v>0.69229436609344341</v>
      </c>
      <c r="AI37" s="55">
        <f>+IF(X37=INICIO!$B$31,IF(D37&lt;=82,0.15991*D37^2.32764, 0.15991*82^2.32764),AND(X37=INICIO!$B$32)*IF(D37&lt;=79.9,0.13657*D37^2.38351,0.13657*79.9^2.38351))</f>
        <v>73.64833681845144</v>
      </c>
      <c r="AJ37" s="56">
        <f t="shared" si="7"/>
        <v>1472.9667363690287</v>
      </c>
      <c r="AK37" s="56">
        <f>+AI37/1000*INICIO!$D$50</f>
        <v>3.4614718304672172E-2</v>
      </c>
      <c r="AL37" s="56">
        <f>+AJ37/1000*INICIO!$D$50</f>
        <v>0.69229436609344341</v>
      </c>
      <c r="AM37" s="57" t="str">
        <f>+INICIO!$C$30</f>
        <v>UVG_B_Kg</v>
      </c>
    </row>
    <row r="38" spans="1:39" ht="15" x14ac:dyDescent="0.25">
      <c r="A38" s="24">
        <v>4</v>
      </c>
      <c r="B38" s="25">
        <f>'1BASE'!A38</f>
        <v>3</v>
      </c>
      <c r="C38" s="24">
        <f>'1BASE'!B38</f>
        <v>0</v>
      </c>
      <c r="D38" s="26">
        <f>'1BASE'!C38</f>
        <v>13.5</v>
      </c>
      <c r="E38" s="27">
        <f>'1BASE'!D38</f>
        <v>0</v>
      </c>
      <c r="F38" s="27">
        <f>'1BASE'!E38</f>
        <v>0</v>
      </c>
      <c r="G38" s="27"/>
      <c r="H38" s="26">
        <f>'1BASE'!F38</f>
        <v>0</v>
      </c>
      <c r="I38" s="24">
        <f>'1BASE'!G38</f>
        <v>0</v>
      </c>
      <c r="J38" s="24">
        <f>'1BASE'!H38</f>
        <v>0</v>
      </c>
      <c r="K38" s="24"/>
      <c r="L38" s="24"/>
      <c r="M38" s="24"/>
      <c r="N38" s="24"/>
      <c r="O38" s="24"/>
      <c r="P38" s="24"/>
      <c r="Q38" s="24"/>
      <c r="R38" s="24"/>
      <c r="S38" s="5"/>
      <c r="T38" s="5"/>
      <c r="U38" s="1" t="s">
        <v>96</v>
      </c>
      <c r="V38" s="11">
        <v>0.05</v>
      </c>
      <c r="W38" s="1">
        <f>+INICIO!$C$34</f>
        <v>2014</v>
      </c>
      <c r="X38" s="1" t="str">
        <f>+INICIO!$B$32</f>
        <v>LATIFOLIADO</v>
      </c>
      <c r="Y38" s="50" t="str">
        <f t="shared" si="0"/>
        <v>DEJAR</v>
      </c>
      <c r="Z38" s="50" t="str">
        <f t="shared" si="1"/>
        <v>DEJAR</v>
      </c>
      <c r="AA38" s="50" t="str">
        <f t="shared" si="2"/>
        <v>DEJAR</v>
      </c>
      <c r="AB38" s="50" t="str">
        <f t="shared" si="3"/>
        <v>DEJAR</v>
      </c>
      <c r="AC38" s="52">
        <f t="shared" si="4"/>
        <v>1.4313881527918496E-2</v>
      </c>
      <c r="AD38" s="52">
        <f t="shared" si="5"/>
        <v>0.28627763055836991</v>
      </c>
      <c r="AE38" s="52">
        <f>+IF(X38=INICIO!$B$31,0.15991*D38^2.32764,AND(X38=INICIO!$B$32)*0.13657*D38^2.38351)</f>
        <v>67.533172179763213</v>
      </c>
      <c r="AF38" s="52">
        <f t="shared" si="6"/>
        <v>1350.6634435952642</v>
      </c>
      <c r="AG38" s="52">
        <f>+AE38/1000*INICIO!$D$50</f>
        <v>3.1740590924488707E-2</v>
      </c>
      <c r="AH38" s="52">
        <f>+AF38/1000*INICIO!$D$50</f>
        <v>0.63481181848977419</v>
      </c>
      <c r="AI38" s="55">
        <f>+IF(X38=INICIO!$B$31,IF(D38&lt;=82,0.15991*D38^2.32764, 0.15991*82^2.32764),AND(X38=INICIO!$B$32)*IF(D38&lt;=79.9,0.13657*D38^2.38351,0.13657*79.9^2.38351))</f>
        <v>67.533172179763213</v>
      </c>
      <c r="AJ38" s="56">
        <f t="shared" si="7"/>
        <v>1350.6634435952642</v>
      </c>
      <c r="AK38" s="56">
        <f>+AI38/1000*INICIO!$D$50</f>
        <v>3.1740590924488707E-2</v>
      </c>
      <c r="AL38" s="56">
        <f>+AJ38/1000*INICIO!$D$50</f>
        <v>0.63481181848977419</v>
      </c>
      <c r="AM38" s="57" t="str">
        <f>+INICIO!$C$30</f>
        <v>UVG_B_Kg</v>
      </c>
    </row>
    <row r="39" spans="1:39" ht="15" x14ac:dyDescent="0.25">
      <c r="A39" s="24">
        <v>4</v>
      </c>
      <c r="B39" s="25">
        <f>'1BASE'!A39</f>
        <v>4</v>
      </c>
      <c r="C39" s="24">
        <f>'1BASE'!B39</f>
        <v>0</v>
      </c>
      <c r="D39" s="26">
        <f>'1BASE'!C39</f>
        <v>80</v>
      </c>
      <c r="E39" s="27">
        <f>'1BASE'!D39</f>
        <v>50</v>
      </c>
      <c r="F39" s="27">
        <f>'1BASE'!E39</f>
        <v>140</v>
      </c>
      <c r="G39" s="27">
        <f>(TAN(RADIANS(E39))*20)+(TAN(RADIANS(F39))*20)</f>
        <v>7.0530792283385928</v>
      </c>
      <c r="H39" s="26">
        <f>'1BASE'!F39</f>
        <v>0</v>
      </c>
      <c r="I39" s="24">
        <f>'1BASE'!G39</f>
        <v>0</v>
      </c>
      <c r="J39" s="24">
        <f>'1BASE'!H39</f>
        <v>0</v>
      </c>
      <c r="K39" s="24"/>
      <c r="L39" s="24"/>
      <c r="M39" s="24"/>
      <c r="N39" s="24"/>
      <c r="O39" s="24"/>
      <c r="P39" s="24"/>
      <c r="Q39" s="24"/>
      <c r="R39" s="24"/>
      <c r="S39" s="5"/>
      <c r="T39" s="5"/>
      <c r="U39" s="1" t="s">
        <v>96</v>
      </c>
      <c r="V39" s="11">
        <v>0.05</v>
      </c>
      <c r="W39" s="1">
        <f>+INICIO!$C$34</f>
        <v>2014</v>
      </c>
      <c r="X39" s="1" t="str">
        <f>+INICIO!$B$32</f>
        <v>LATIFOLIADO</v>
      </c>
      <c r="Y39" s="50" t="str">
        <f t="shared" si="0"/>
        <v>DEJAR</v>
      </c>
      <c r="Z39" s="50" t="str">
        <f t="shared" si="1"/>
        <v>DEJAR</v>
      </c>
      <c r="AA39" s="50" t="str">
        <f t="shared" si="2"/>
        <v>DEJAR</v>
      </c>
      <c r="AB39" s="50" t="str">
        <f t="shared" si="3"/>
        <v>DEJAR</v>
      </c>
      <c r="AC39" s="52">
        <f t="shared" si="4"/>
        <v>0.50265482457436694</v>
      </c>
      <c r="AD39" s="52">
        <f t="shared" si="5"/>
        <v>10.053096491487338</v>
      </c>
      <c r="AE39" s="52">
        <f>+IF(X39=INICIO!$B$31,0.15991*D39^2.32764,AND(X39=INICIO!$B$32)*0.13657*D39^2.38351)</f>
        <v>4692.3383942985474</v>
      </c>
      <c r="AF39" s="52">
        <f t="shared" si="6"/>
        <v>93846.767885970941</v>
      </c>
      <c r="AG39" s="52">
        <f>+AE39/1000*INICIO!$D$50</f>
        <v>2.2053990453203172</v>
      </c>
      <c r="AH39" s="52">
        <f>+AF39/1000*INICIO!$D$50</f>
        <v>44.10798090640634</v>
      </c>
      <c r="AI39" s="55">
        <f>+IF(X39=INICIO!$B$31,IF(D39&lt;=82,0.15991*D39^2.32764, 0.15991*82^2.32764),AND(X39=INICIO!$B$32)*IF(D39&lt;=79.9,0.13657*D39^2.38351,0.13657*79.9^2.38351))</f>
        <v>4678.370186681871</v>
      </c>
      <c r="AJ39" s="56">
        <f t="shared" si="7"/>
        <v>93567.403733637417</v>
      </c>
      <c r="AK39" s="56">
        <f>+AI39/1000*INICIO!$D$50</f>
        <v>2.1988339877404792</v>
      </c>
      <c r="AL39" s="56">
        <f>+AJ39/1000*INICIO!$D$50</f>
        <v>43.976679754809588</v>
      </c>
      <c r="AM39" s="57" t="str">
        <f>+INICIO!$C$30</f>
        <v>UVG_B_Kg</v>
      </c>
    </row>
    <row r="40" spans="1:39" ht="15" x14ac:dyDescent="0.25">
      <c r="A40" s="24">
        <v>4</v>
      </c>
      <c r="B40" s="25">
        <f>'1BASE'!A40</f>
        <v>5</v>
      </c>
      <c r="C40" s="24">
        <f>'1BASE'!B40</f>
        <v>0</v>
      </c>
      <c r="D40" s="26">
        <f>'1BASE'!C40</f>
        <v>25</v>
      </c>
      <c r="E40" s="27">
        <f>'1BASE'!D40</f>
        <v>0</v>
      </c>
      <c r="F40" s="27">
        <f>'1BASE'!E40</f>
        <v>0</v>
      </c>
      <c r="G40" s="27"/>
      <c r="H40" s="26">
        <f>'1BASE'!F40</f>
        <v>0</v>
      </c>
      <c r="I40" s="24">
        <f>'1BASE'!G40</f>
        <v>0</v>
      </c>
      <c r="J40" s="24">
        <f>'1BASE'!H40</f>
        <v>0</v>
      </c>
      <c r="K40" s="24"/>
      <c r="L40" s="24"/>
      <c r="M40" s="24"/>
      <c r="N40" s="24"/>
      <c r="O40" s="24"/>
      <c r="P40" s="24"/>
      <c r="Q40" s="24"/>
      <c r="R40" s="24"/>
      <c r="S40" s="5"/>
      <c r="T40" s="5"/>
      <c r="U40" s="1" t="s">
        <v>96</v>
      </c>
      <c r="V40" s="11">
        <v>0.05</v>
      </c>
      <c r="W40" s="1">
        <f>+INICIO!$C$34</f>
        <v>2014</v>
      </c>
      <c r="X40" s="1" t="str">
        <f>+INICIO!$B$32</f>
        <v>LATIFOLIADO</v>
      </c>
      <c r="Y40" s="50" t="str">
        <f t="shared" si="0"/>
        <v>DEJAR</v>
      </c>
      <c r="Z40" s="50" t="str">
        <f t="shared" si="1"/>
        <v>DEJAR</v>
      </c>
      <c r="AA40" s="50" t="str">
        <f t="shared" si="2"/>
        <v>DEJAR</v>
      </c>
      <c r="AB40" s="50" t="str">
        <f t="shared" si="3"/>
        <v>DEJAR</v>
      </c>
      <c r="AC40" s="52">
        <f t="shared" si="4"/>
        <v>4.9087385212340517E-2</v>
      </c>
      <c r="AD40" s="52">
        <f t="shared" si="5"/>
        <v>0.98174770424681035</v>
      </c>
      <c r="AE40" s="52">
        <f>+IF(X40=INICIO!$B$31,0.15991*D40^2.32764,AND(X40=INICIO!$B$32)*0.13657*D40^2.38351)</f>
        <v>293.3319028192812</v>
      </c>
      <c r="AF40" s="52">
        <f t="shared" si="6"/>
        <v>5866.6380563856237</v>
      </c>
      <c r="AG40" s="52">
        <f>+AE40/1000*INICIO!$D$50</f>
        <v>0.13786599432506214</v>
      </c>
      <c r="AH40" s="52">
        <f>+AF40/1000*INICIO!$D$50</f>
        <v>2.7573198865012429</v>
      </c>
      <c r="AI40" s="55">
        <f>+IF(X40=INICIO!$B$31,IF(D40&lt;=82,0.15991*D40^2.32764, 0.15991*82^2.32764),AND(X40=INICIO!$B$32)*IF(D40&lt;=79.9,0.13657*D40^2.38351,0.13657*79.9^2.38351))</f>
        <v>293.3319028192812</v>
      </c>
      <c r="AJ40" s="56">
        <f t="shared" si="7"/>
        <v>5866.6380563856237</v>
      </c>
      <c r="AK40" s="56">
        <f>+AI40/1000*INICIO!$D$50</f>
        <v>0.13786599432506214</v>
      </c>
      <c r="AL40" s="56">
        <f>+AJ40/1000*INICIO!$D$50</f>
        <v>2.7573198865012429</v>
      </c>
      <c r="AM40" s="57" t="str">
        <f>+INICIO!$C$30</f>
        <v>UVG_B_Kg</v>
      </c>
    </row>
    <row r="41" spans="1:39" ht="15" x14ac:dyDescent="0.25">
      <c r="A41" s="24">
        <v>4</v>
      </c>
      <c r="B41" s="25">
        <f>'1BASE'!A41</f>
        <v>6</v>
      </c>
      <c r="C41" s="24">
        <f>'1BASE'!B41</f>
        <v>0</v>
      </c>
      <c r="D41" s="26">
        <f>'1BASE'!C41</f>
        <v>34</v>
      </c>
      <c r="E41" s="27">
        <f>'1BASE'!D41</f>
        <v>0</v>
      </c>
      <c r="F41" s="27">
        <f>'1BASE'!E41</f>
        <v>0</v>
      </c>
      <c r="G41" s="27"/>
      <c r="H41" s="26">
        <f>'1BASE'!F41</f>
        <v>0</v>
      </c>
      <c r="I41" s="24">
        <f>'1BASE'!G41</f>
        <v>0</v>
      </c>
      <c r="J41" s="24">
        <f>'1BASE'!H41</f>
        <v>0</v>
      </c>
      <c r="K41" s="24"/>
      <c r="L41" s="24"/>
      <c r="M41" s="24"/>
      <c r="N41" s="24"/>
      <c r="O41" s="24"/>
      <c r="P41" s="24"/>
      <c r="Q41" s="24"/>
      <c r="R41" s="24"/>
      <c r="S41" s="5"/>
      <c r="T41" s="5"/>
      <c r="U41" s="1" t="s">
        <v>96</v>
      </c>
      <c r="V41" s="11">
        <v>0.05</v>
      </c>
      <c r="W41" s="1">
        <f>+INICIO!$C$34</f>
        <v>2014</v>
      </c>
      <c r="X41" s="1" t="str">
        <f>+INICIO!$B$32</f>
        <v>LATIFOLIADO</v>
      </c>
      <c r="Y41" s="50" t="str">
        <f t="shared" si="0"/>
        <v>DEJAR</v>
      </c>
      <c r="Z41" s="50" t="str">
        <f t="shared" si="1"/>
        <v>DEJAR</v>
      </c>
      <c r="AA41" s="50" t="str">
        <f t="shared" si="2"/>
        <v>DEJAR</v>
      </c>
      <c r="AB41" s="50" t="str">
        <f t="shared" si="3"/>
        <v>DEJAR</v>
      </c>
      <c r="AC41" s="52">
        <f t="shared" si="4"/>
        <v>9.0792027688745044E-2</v>
      </c>
      <c r="AD41" s="52">
        <f t="shared" si="5"/>
        <v>1.8158405537749007</v>
      </c>
      <c r="AE41" s="52">
        <f>+IF(X41=INICIO!$B$31,0.15991*D41^2.32764,AND(X41=INICIO!$B$32)*0.13657*D41^2.38351)</f>
        <v>610.45073780325674</v>
      </c>
      <c r="AF41" s="52">
        <f t="shared" si="6"/>
        <v>12209.014756065135</v>
      </c>
      <c r="AG41" s="52">
        <f>+AE41/1000*INICIO!$D$50</f>
        <v>0.28691184676753068</v>
      </c>
      <c r="AH41" s="52">
        <f>+AF41/1000*INICIO!$D$50</f>
        <v>5.7382369353506135</v>
      </c>
      <c r="AI41" s="55">
        <f>+IF(X41=INICIO!$B$31,IF(D41&lt;=82,0.15991*D41^2.32764, 0.15991*82^2.32764),AND(X41=INICIO!$B$32)*IF(D41&lt;=79.9,0.13657*D41^2.38351,0.13657*79.9^2.38351))</f>
        <v>610.45073780325674</v>
      </c>
      <c r="AJ41" s="56">
        <f t="shared" si="7"/>
        <v>12209.014756065135</v>
      </c>
      <c r="AK41" s="56">
        <f>+AI41/1000*INICIO!$D$50</f>
        <v>0.28691184676753068</v>
      </c>
      <c r="AL41" s="56">
        <f>+AJ41/1000*INICIO!$D$50</f>
        <v>5.7382369353506135</v>
      </c>
      <c r="AM41" s="57" t="str">
        <f>+INICIO!$C$30</f>
        <v>UVG_B_Kg</v>
      </c>
    </row>
    <row r="42" spans="1:39" ht="15" x14ac:dyDescent="0.25">
      <c r="A42" s="24">
        <v>4</v>
      </c>
      <c r="B42" s="25">
        <f>'1BASE'!A42</f>
        <v>7</v>
      </c>
      <c r="C42" s="24">
        <f>'1BASE'!B42</f>
        <v>0</v>
      </c>
      <c r="D42" s="26">
        <f>'1BASE'!C42</f>
        <v>21</v>
      </c>
      <c r="E42" s="27">
        <f>'1BASE'!D42</f>
        <v>40</v>
      </c>
      <c r="F42" s="27">
        <f>'1BASE'!E42</f>
        <v>120</v>
      </c>
      <c r="G42" s="32">
        <f>(TAN(RADIANS(E42))*20)+(TAN(RADIANS(F42))*20)</f>
        <v>-17.859023527831965</v>
      </c>
      <c r="H42" s="26">
        <f>'1BASE'!F42</f>
        <v>7</v>
      </c>
      <c r="I42" s="24">
        <f>'1BASE'!G42</f>
        <v>0</v>
      </c>
      <c r="J42" s="24">
        <f>'1BASE'!H42</f>
        <v>0</v>
      </c>
      <c r="K42" s="24"/>
      <c r="L42" s="24"/>
      <c r="M42" s="24"/>
      <c r="N42" s="24"/>
      <c r="O42" s="24"/>
      <c r="P42" s="24"/>
      <c r="Q42" s="24"/>
      <c r="R42" s="24"/>
      <c r="S42" s="5"/>
      <c r="T42" s="5"/>
      <c r="U42" s="1" t="s">
        <v>96</v>
      </c>
      <c r="V42" s="11">
        <v>0.05</v>
      </c>
      <c r="W42" s="1">
        <f>+INICIO!$C$34</f>
        <v>2014</v>
      </c>
      <c r="X42" s="1" t="str">
        <f>+INICIO!$B$32</f>
        <v>LATIFOLIADO</v>
      </c>
      <c r="Y42" s="50" t="str">
        <f t="shared" si="0"/>
        <v>DEJAR</v>
      </c>
      <c r="Z42" s="50" t="str">
        <f t="shared" si="1"/>
        <v>DEJAR</v>
      </c>
      <c r="AA42" s="50" t="str">
        <f t="shared" si="2"/>
        <v>DEJAR</v>
      </c>
      <c r="AB42" s="50" t="str">
        <f t="shared" si="3"/>
        <v>DEJAR</v>
      </c>
      <c r="AC42" s="52">
        <f t="shared" si="4"/>
        <v>3.4636059005827467E-2</v>
      </c>
      <c r="AD42" s="52">
        <f t="shared" si="5"/>
        <v>0.69272118011654926</v>
      </c>
      <c r="AE42" s="52">
        <f>+IF(X42=INICIO!$B$31,0.15991*D42^2.32764,AND(X42=INICIO!$B$32)*0.13657*D42^2.38351)</f>
        <v>193.587905296</v>
      </c>
      <c r="AF42" s="52">
        <f t="shared" si="6"/>
        <v>3871.7581059199997</v>
      </c>
      <c r="AG42" s="52">
        <f>+AE42/1000*INICIO!$D$50</f>
        <v>9.0986315489119993E-2</v>
      </c>
      <c r="AH42" s="52">
        <f>+AF42/1000*INICIO!$D$50</f>
        <v>1.8197263097823997</v>
      </c>
      <c r="AI42" s="55">
        <f>+IF(X42=INICIO!$B$31,IF(D42&lt;=82,0.15991*D42^2.32764, 0.15991*82^2.32764),AND(X42=INICIO!$B$32)*IF(D42&lt;=79.9,0.13657*D42^2.38351,0.13657*79.9^2.38351))</f>
        <v>193.587905296</v>
      </c>
      <c r="AJ42" s="56">
        <f t="shared" si="7"/>
        <v>3871.7581059199997</v>
      </c>
      <c r="AK42" s="56">
        <f>+AI42/1000*INICIO!$D$50</f>
        <v>9.0986315489119993E-2</v>
      </c>
      <c r="AL42" s="56">
        <f>+AJ42/1000*INICIO!$D$50</f>
        <v>1.8197263097823997</v>
      </c>
      <c r="AM42" s="57" t="str">
        <f>+INICIO!$C$30</f>
        <v>UVG_B_Kg</v>
      </c>
    </row>
    <row r="43" spans="1:39" ht="15" x14ac:dyDescent="0.25">
      <c r="A43" s="24">
        <v>4</v>
      </c>
      <c r="B43" s="25">
        <f>'1BASE'!A43</f>
        <v>8</v>
      </c>
      <c r="C43" s="24">
        <f>'1BASE'!B43</f>
        <v>0</v>
      </c>
      <c r="D43" s="26">
        <f>'1BASE'!C43</f>
        <v>58</v>
      </c>
      <c r="E43" s="27">
        <f>'1BASE'!D43</f>
        <v>0</v>
      </c>
      <c r="F43" s="27">
        <f>'1BASE'!E43</f>
        <v>0</v>
      </c>
      <c r="G43" s="27"/>
      <c r="H43" s="26">
        <f>'1BASE'!F43</f>
        <v>0</v>
      </c>
      <c r="I43" s="24">
        <f>'1BASE'!G43</f>
        <v>0</v>
      </c>
      <c r="J43" s="24">
        <f>'1BASE'!H43</f>
        <v>0</v>
      </c>
      <c r="K43" s="24"/>
      <c r="L43" s="24"/>
      <c r="M43" s="24"/>
      <c r="N43" s="24"/>
      <c r="O43" s="24"/>
      <c r="P43" s="24"/>
      <c r="Q43" s="24"/>
      <c r="R43" s="24"/>
      <c r="S43" s="5"/>
      <c r="T43" s="5"/>
      <c r="U43" s="1" t="s">
        <v>96</v>
      </c>
      <c r="V43" s="11">
        <v>0.05</v>
      </c>
      <c r="W43" s="1">
        <f>+INICIO!$C$34</f>
        <v>2014</v>
      </c>
      <c r="X43" s="1" t="str">
        <f>+INICIO!$B$32</f>
        <v>LATIFOLIADO</v>
      </c>
      <c r="Y43" s="50" t="str">
        <f t="shared" si="0"/>
        <v>DEJAR</v>
      </c>
      <c r="Z43" s="50" t="str">
        <f t="shared" si="1"/>
        <v>DEJAR</v>
      </c>
      <c r="AA43" s="50" t="str">
        <f t="shared" si="2"/>
        <v>DEJAR</v>
      </c>
      <c r="AB43" s="50" t="str">
        <f t="shared" si="3"/>
        <v>DEJAR</v>
      </c>
      <c r="AC43" s="52">
        <f t="shared" si="4"/>
        <v>0.26420794216690158</v>
      </c>
      <c r="AD43" s="52">
        <f t="shared" si="5"/>
        <v>5.2841588433380311</v>
      </c>
      <c r="AE43" s="52">
        <f>+IF(X43=INICIO!$B$31,0.15991*D43^2.32764,AND(X43=INICIO!$B$32)*0.13657*D43^2.38351)</f>
        <v>2180.2363008097436</v>
      </c>
      <c r="AF43" s="52">
        <f t="shared" si="6"/>
        <v>43604.726016194872</v>
      </c>
      <c r="AG43" s="52">
        <f>+AE43/1000*INICIO!$D$50</f>
        <v>1.0247110613805794</v>
      </c>
      <c r="AH43" s="52">
        <f>+AF43/1000*INICIO!$D$50</f>
        <v>20.49422122761159</v>
      </c>
      <c r="AI43" s="55">
        <f>+IF(X43=INICIO!$B$31,IF(D43&lt;=82,0.15991*D43^2.32764, 0.15991*82^2.32764),AND(X43=INICIO!$B$32)*IF(D43&lt;=79.9,0.13657*D43^2.38351,0.13657*79.9^2.38351))</f>
        <v>2180.2363008097436</v>
      </c>
      <c r="AJ43" s="56">
        <f t="shared" si="7"/>
        <v>43604.726016194872</v>
      </c>
      <c r="AK43" s="56">
        <f>+AI43/1000*INICIO!$D$50</f>
        <v>1.0247110613805794</v>
      </c>
      <c r="AL43" s="56">
        <f>+AJ43/1000*INICIO!$D$50</f>
        <v>20.49422122761159</v>
      </c>
      <c r="AM43" s="57" t="str">
        <f>+INICIO!$C$30</f>
        <v>UVG_B_Kg</v>
      </c>
    </row>
    <row r="44" spans="1:39" ht="15" x14ac:dyDescent="0.25">
      <c r="A44" s="24">
        <v>4</v>
      </c>
      <c r="B44" s="25">
        <f>'1BASE'!A44</f>
        <v>9</v>
      </c>
      <c r="C44" s="24" t="str">
        <f>'1BASE'!B44</f>
        <v>Seiva</v>
      </c>
      <c r="D44" s="26">
        <f>'1BASE'!C44</f>
        <v>97</v>
      </c>
      <c r="E44" s="27">
        <f>'1BASE'!D44</f>
        <v>0</v>
      </c>
      <c r="F44" s="27">
        <f>'1BASE'!E44</f>
        <v>0</v>
      </c>
      <c r="G44" s="27"/>
      <c r="H44" s="26">
        <f>'1BASE'!F44</f>
        <v>11.5</v>
      </c>
      <c r="I44" s="24">
        <f>'1BASE'!G44</f>
        <v>0</v>
      </c>
      <c r="J44" s="24">
        <f>'1BASE'!H44</f>
        <v>0</v>
      </c>
      <c r="K44" s="24"/>
      <c r="L44" s="24"/>
      <c r="M44" s="24"/>
      <c r="N44" s="24"/>
      <c r="O44" s="24"/>
      <c r="P44" s="24"/>
      <c r="Q44" s="24"/>
      <c r="R44" s="24"/>
      <c r="S44" s="5"/>
      <c r="T44" s="5"/>
      <c r="U44" s="1" t="s">
        <v>96</v>
      </c>
      <c r="V44" s="11">
        <v>0.05</v>
      </c>
      <c r="W44" s="1">
        <f>+INICIO!$C$34</f>
        <v>2014</v>
      </c>
      <c r="X44" s="1" t="str">
        <f>+INICIO!$B$32</f>
        <v>LATIFOLIADO</v>
      </c>
      <c r="Y44" s="50" t="str">
        <f t="shared" si="0"/>
        <v>DEJAR</v>
      </c>
      <c r="Z44" s="50" t="str">
        <f t="shared" si="1"/>
        <v>DEJAR</v>
      </c>
      <c r="AA44" s="50" t="str">
        <f t="shared" si="2"/>
        <v>DEJAR</v>
      </c>
      <c r="AB44" s="50" t="str">
        <f t="shared" si="3"/>
        <v>DEJAR</v>
      </c>
      <c r="AC44" s="52">
        <f t="shared" si="4"/>
        <v>0.73898113194065906</v>
      </c>
      <c r="AD44" s="52">
        <f t="shared" si="5"/>
        <v>14.77962263881318</v>
      </c>
      <c r="AE44" s="52">
        <f>+IF(X44=INICIO!$B$31,0.15991*D44^2.32764,AND(X44=INICIO!$B$32)*0.13657*D44^2.38351)</f>
        <v>7427.5503715745845</v>
      </c>
      <c r="AF44" s="52">
        <f t="shared" si="6"/>
        <v>148551.00743149169</v>
      </c>
      <c r="AG44" s="52">
        <f>+AE44/1000*INICIO!$D$50</f>
        <v>3.4909486746400544</v>
      </c>
      <c r="AH44" s="52">
        <f>+AF44/1000*INICIO!$D$50</f>
        <v>69.818973492801092</v>
      </c>
      <c r="AI44" s="55">
        <f>+IF(X44=INICIO!$B$31,IF(D44&lt;=82,0.15991*D44^2.32764, 0.15991*82^2.32764),AND(X44=INICIO!$B$32)*IF(D44&lt;=79.9,0.13657*D44^2.38351,0.13657*79.9^2.38351))</f>
        <v>4678.370186681871</v>
      </c>
      <c r="AJ44" s="56">
        <f t="shared" si="7"/>
        <v>93567.403733637417</v>
      </c>
      <c r="AK44" s="56">
        <f>+AI44/1000*INICIO!$D$50</f>
        <v>2.1988339877404792</v>
      </c>
      <c r="AL44" s="56">
        <f>+AJ44/1000*INICIO!$D$50</f>
        <v>43.976679754809588</v>
      </c>
      <c r="AM44" s="57" t="str">
        <f>+INICIO!$C$30</f>
        <v>UVG_B_Kg</v>
      </c>
    </row>
    <row r="45" spans="1:39" ht="15" x14ac:dyDescent="0.25">
      <c r="A45" s="24">
        <v>5</v>
      </c>
      <c r="B45" s="25">
        <f>'1BASE'!A45</f>
        <v>1</v>
      </c>
      <c r="C45" s="24" t="str">
        <f>'1BASE'!B45</f>
        <v>Tamarindo</v>
      </c>
      <c r="D45" s="26">
        <f>'1BASE'!C45</f>
        <v>62</v>
      </c>
      <c r="E45" s="27">
        <f>'1BASE'!D45</f>
        <v>55</v>
      </c>
      <c r="F45" s="27">
        <f>'1BASE'!E45</f>
        <v>140</v>
      </c>
      <c r="G45" s="27">
        <f>(TAN(RADIANS(E45))*20)+(TAN(RADIANS(F45))*20)</f>
        <v>11.78096751129668</v>
      </c>
      <c r="H45" s="26">
        <f>'1BASE'!F45</f>
        <v>0</v>
      </c>
      <c r="I45" s="22" t="str">
        <f>'1BASE'!G45</f>
        <v>X</v>
      </c>
      <c r="J45" s="22" t="str">
        <f>'1BASE'!H45</f>
        <v>Y</v>
      </c>
      <c r="K45" s="24"/>
      <c r="L45" s="24"/>
      <c r="M45" s="24"/>
      <c r="N45" s="24"/>
      <c r="O45" s="24"/>
      <c r="P45" s="24"/>
      <c r="Q45" s="24"/>
      <c r="R45" s="24"/>
      <c r="S45" s="5"/>
      <c r="T45" s="5"/>
      <c r="U45" s="1" t="s">
        <v>96</v>
      </c>
      <c r="V45" s="11">
        <v>0.05</v>
      </c>
      <c r="W45" s="1">
        <f>+INICIO!$C$34</f>
        <v>2014</v>
      </c>
      <c r="X45" s="1" t="str">
        <f>+INICIO!$B$32</f>
        <v>LATIFOLIADO</v>
      </c>
      <c r="Y45" s="50" t="str">
        <f t="shared" si="0"/>
        <v>DEJAR</v>
      </c>
      <c r="Z45" s="50" t="str">
        <f t="shared" si="1"/>
        <v>DEJAR</v>
      </c>
      <c r="AA45" s="50" t="str">
        <f t="shared" si="2"/>
        <v>DEJAR</v>
      </c>
      <c r="AB45" s="50" t="str">
        <f t="shared" si="3"/>
        <v>DEJAR</v>
      </c>
      <c r="AC45" s="52">
        <f t="shared" si="4"/>
        <v>0.30190705400997914</v>
      </c>
      <c r="AD45" s="52">
        <f t="shared" si="5"/>
        <v>6.0381410801995825</v>
      </c>
      <c r="AE45" s="52">
        <f>+IF(X45=INICIO!$B$31,0.15991*D45^2.32764,AND(X45=INICIO!$B$32)*0.13657*D45^2.38351)</f>
        <v>2555.8703816500024</v>
      </c>
      <c r="AF45" s="52">
        <f t="shared" si="6"/>
        <v>51117.407633000046</v>
      </c>
      <c r="AG45" s="52">
        <f>+AE45/1000*INICIO!$D$50</f>
        <v>1.2012590793755011</v>
      </c>
      <c r="AH45" s="52">
        <f>+AF45/1000*INICIO!$D$50</f>
        <v>24.025181587510023</v>
      </c>
      <c r="AI45" s="55">
        <f>+IF(X45=INICIO!$B$31,IF(D45&lt;=82,0.15991*D45^2.32764, 0.15991*82^2.32764),AND(X45=INICIO!$B$32)*IF(D45&lt;=79.9,0.13657*D45^2.38351,0.13657*79.9^2.38351))</f>
        <v>2555.8703816500024</v>
      </c>
      <c r="AJ45" s="56">
        <f t="shared" si="7"/>
        <v>51117.407633000046</v>
      </c>
      <c r="AK45" s="56">
        <f>+AI45/1000*INICIO!$D$50</f>
        <v>1.2012590793755011</v>
      </c>
      <c r="AL45" s="56">
        <f>+AJ45/1000*INICIO!$D$50</f>
        <v>24.025181587510023</v>
      </c>
      <c r="AM45" s="57" t="str">
        <f>+INICIO!$C$30</f>
        <v>UVG_B_Kg</v>
      </c>
    </row>
    <row r="46" spans="1:39" ht="15" x14ac:dyDescent="0.25">
      <c r="A46" s="24">
        <v>5</v>
      </c>
      <c r="B46" s="25">
        <f>'1BASE'!A46</f>
        <v>2</v>
      </c>
      <c r="C46" s="24" t="str">
        <f>'1BASE'!B46</f>
        <v>Santa Maria</v>
      </c>
      <c r="D46" s="26">
        <f>'1BASE'!C46</f>
        <v>76.400000000000006</v>
      </c>
      <c r="E46" s="27">
        <f>'1BASE'!D46</f>
        <v>50</v>
      </c>
      <c r="F46" s="27">
        <f>'1BASE'!E46</f>
        <v>140</v>
      </c>
      <c r="G46" s="27">
        <f>(TAN(RADIANS(E46))*20)+(TAN(RADIANS(F46))*20)</f>
        <v>7.0530792283385928</v>
      </c>
      <c r="H46" s="26">
        <f>'1BASE'!F46</f>
        <v>12</v>
      </c>
      <c r="I46" s="22" t="str">
        <f>'1BASE'!G46</f>
        <v>88° 38' 48.3''</v>
      </c>
      <c r="J46" s="22" t="str">
        <f>'1BASE'!H46</f>
        <v>15° 41' 4.6''</v>
      </c>
      <c r="K46" s="24" t="str">
        <f>LEFT(I46,2)</f>
        <v>88</v>
      </c>
      <c r="L46" s="24" t="str">
        <f>+LEFT(RIGHT(I46,10),2)</f>
        <v>38</v>
      </c>
      <c r="M46" s="24" t="str">
        <f>+LEFT(RIGHT(I46,6),4)</f>
        <v>48.3</v>
      </c>
      <c r="N46" s="24">
        <f>(K46+((L46+(M46/60)/60)/60))*-1</f>
        <v>-88.63355694444445</v>
      </c>
      <c r="O46" s="24" t="str">
        <f>LEFT(J46,2)</f>
        <v>15</v>
      </c>
      <c r="P46" s="24" t="str">
        <f>+LEFT(RIGHT(J46,9),2)</f>
        <v>41</v>
      </c>
      <c r="Q46" s="24" t="str">
        <f>+LEFT(RIGHT(J46,6),4)</f>
        <v xml:space="preserve"> 4.6</v>
      </c>
      <c r="R46" s="24">
        <f>O46+((P46+(Q46/60)/60)/60)</f>
        <v>15.68335462962963</v>
      </c>
      <c r="S46" s="11">
        <v>700075.57251199998</v>
      </c>
      <c r="T46" s="11">
        <v>1735138.4071899999</v>
      </c>
      <c r="U46" s="1" t="s">
        <v>96</v>
      </c>
      <c r="V46" s="11">
        <v>0.05</v>
      </c>
      <c r="W46" s="1">
        <f>+INICIO!$C$34</f>
        <v>2014</v>
      </c>
      <c r="X46" s="1" t="str">
        <f>+INICIO!$B$32</f>
        <v>LATIFOLIADO</v>
      </c>
      <c r="Y46" s="50" t="str">
        <f t="shared" si="0"/>
        <v>DEJAR</v>
      </c>
      <c r="Z46" s="50" t="str">
        <f t="shared" si="1"/>
        <v>DEJAR</v>
      </c>
      <c r="AA46" s="50" t="str">
        <f t="shared" si="2"/>
        <v>DEJAR</v>
      </c>
      <c r="AB46" s="50" t="str">
        <f t="shared" si="3"/>
        <v>DEJAR</v>
      </c>
      <c r="AC46" s="52">
        <f t="shared" si="4"/>
        <v>0.45843376638243699</v>
      </c>
      <c r="AD46" s="52">
        <f t="shared" si="5"/>
        <v>9.1686753276487387</v>
      </c>
      <c r="AE46" s="52">
        <f>+IF(X46=INICIO!$B$31,0.15991*D46^2.32764,AND(X46=INICIO!$B$32)*0.13657*D46^2.38351)</f>
        <v>4204.6239571694196</v>
      </c>
      <c r="AF46" s="52">
        <f t="shared" si="6"/>
        <v>84092.47914338838</v>
      </c>
      <c r="AG46" s="52">
        <f>+AE46/1000*INICIO!$D$50</f>
        <v>1.9761732598696273</v>
      </c>
      <c r="AH46" s="52">
        <f>+AF46/1000*INICIO!$D$50</f>
        <v>39.523465197392532</v>
      </c>
      <c r="AI46" s="55">
        <f>+IF(X46=INICIO!$B$31,IF(D46&lt;=82,0.15991*D46^2.32764, 0.15991*82^2.32764),AND(X46=INICIO!$B$32)*IF(D46&lt;=79.9,0.13657*D46^2.38351,0.13657*79.9^2.38351))</f>
        <v>4204.6239571694196</v>
      </c>
      <c r="AJ46" s="56">
        <f t="shared" si="7"/>
        <v>84092.47914338838</v>
      </c>
      <c r="AK46" s="56">
        <f>+AI46/1000*INICIO!$D$50</f>
        <v>1.9761732598696273</v>
      </c>
      <c r="AL46" s="56">
        <f>+AJ46/1000*INICIO!$D$50</f>
        <v>39.523465197392532</v>
      </c>
      <c r="AM46" s="57" t="str">
        <f>+INICIO!$C$30</f>
        <v>UVG_B_Kg</v>
      </c>
    </row>
    <row r="47" spans="1:39" ht="15" x14ac:dyDescent="0.25">
      <c r="A47" s="24">
        <v>5</v>
      </c>
      <c r="B47" s="25">
        <f>'1BASE'!A47</f>
        <v>3</v>
      </c>
      <c r="C47" s="24" t="str">
        <f>'1BASE'!B47</f>
        <v>Chichicaste</v>
      </c>
      <c r="D47" s="26">
        <f>'1BASE'!C47</f>
        <v>71</v>
      </c>
      <c r="E47" s="27">
        <f>'1BASE'!D47</f>
        <v>0</v>
      </c>
      <c r="F47" s="27">
        <f>'1BASE'!E47</f>
        <v>0</v>
      </c>
      <c r="G47" s="27"/>
      <c r="H47" s="26">
        <f>'1BASE'!F47</f>
        <v>13.5</v>
      </c>
      <c r="I47" s="24">
        <f>'1BASE'!G47</f>
        <v>0</v>
      </c>
      <c r="J47" s="24">
        <f>'1BASE'!H47</f>
        <v>0</v>
      </c>
      <c r="K47" s="24"/>
      <c r="L47" s="24"/>
      <c r="M47" s="24"/>
      <c r="N47" s="24"/>
      <c r="O47" s="24"/>
      <c r="P47" s="24"/>
      <c r="Q47" s="24"/>
      <c r="R47" s="24"/>
      <c r="S47" s="5"/>
      <c r="T47" s="5"/>
      <c r="U47" s="1" t="s">
        <v>96</v>
      </c>
      <c r="V47" s="11">
        <v>0.05</v>
      </c>
      <c r="W47" s="1">
        <f>+INICIO!$C$34</f>
        <v>2014</v>
      </c>
      <c r="X47" s="1" t="str">
        <f>+INICIO!$B$32</f>
        <v>LATIFOLIADO</v>
      </c>
      <c r="Y47" s="50" t="str">
        <f t="shared" si="0"/>
        <v>DEJAR</v>
      </c>
      <c r="Z47" s="50" t="str">
        <f t="shared" si="1"/>
        <v>DEJAR</v>
      </c>
      <c r="AA47" s="50" t="str">
        <f t="shared" si="2"/>
        <v>DEJAR</v>
      </c>
      <c r="AB47" s="50" t="str">
        <f t="shared" si="3"/>
        <v>DEJAR</v>
      </c>
      <c r="AC47" s="52">
        <f t="shared" si="4"/>
        <v>0.39591921416865367</v>
      </c>
      <c r="AD47" s="52">
        <f t="shared" si="5"/>
        <v>7.9183842833730731</v>
      </c>
      <c r="AE47" s="52">
        <f>+IF(X47=INICIO!$B$31,0.15991*D47^2.32764,AND(X47=INICIO!$B$32)*0.13657*D47^2.38351)</f>
        <v>3530.5965798379734</v>
      </c>
      <c r="AF47" s="52">
        <f t="shared" si="6"/>
        <v>70611.931596759459</v>
      </c>
      <c r="AG47" s="52">
        <f>+AE47/1000*INICIO!$D$50</f>
        <v>1.6593803925238473</v>
      </c>
      <c r="AH47" s="52">
        <f>+AF47/1000*INICIO!$D$50</f>
        <v>33.187607850476944</v>
      </c>
      <c r="AI47" s="55">
        <f>+IF(X47=INICIO!$B$31,IF(D47&lt;=82,0.15991*D47^2.32764, 0.15991*82^2.32764),AND(X47=INICIO!$B$32)*IF(D47&lt;=79.9,0.13657*D47^2.38351,0.13657*79.9^2.38351))</f>
        <v>3530.5965798379734</v>
      </c>
      <c r="AJ47" s="56">
        <f t="shared" si="7"/>
        <v>70611.931596759459</v>
      </c>
      <c r="AK47" s="56">
        <f>+AI47/1000*INICIO!$D$50</f>
        <v>1.6593803925238473</v>
      </c>
      <c r="AL47" s="56">
        <f>+AJ47/1000*INICIO!$D$50</f>
        <v>33.187607850476944</v>
      </c>
      <c r="AM47" s="57" t="str">
        <f>+INICIO!$C$30</f>
        <v>UVG_B_Kg</v>
      </c>
    </row>
    <row r="48" spans="1:39" ht="15" x14ac:dyDescent="0.25">
      <c r="A48" s="24">
        <v>5</v>
      </c>
      <c r="B48" s="25">
        <f>'1BASE'!A48</f>
        <v>4</v>
      </c>
      <c r="C48" s="24">
        <f>'1BASE'!B48</f>
        <v>0</v>
      </c>
      <c r="D48" s="26">
        <f>'1BASE'!C48</f>
        <v>73</v>
      </c>
      <c r="E48" s="27">
        <f>'1BASE'!D48</f>
        <v>55</v>
      </c>
      <c r="F48" s="27">
        <f>'1BASE'!E48</f>
        <v>140</v>
      </c>
      <c r="G48" s="27">
        <f>(TAN(RADIANS(E48))*20)+(TAN(RADIANS(F48))*20)</f>
        <v>11.78096751129668</v>
      </c>
      <c r="H48" s="26">
        <f>'1BASE'!F48</f>
        <v>10</v>
      </c>
      <c r="I48" s="24">
        <f>'1BASE'!G48</f>
        <v>0</v>
      </c>
      <c r="J48" s="24">
        <f>'1BASE'!H48</f>
        <v>0</v>
      </c>
      <c r="K48" s="24"/>
      <c r="L48" s="24"/>
      <c r="M48" s="24"/>
      <c r="N48" s="24"/>
      <c r="O48" s="24"/>
      <c r="P48" s="24"/>
      <c r="Q48" s="24"/>
      <c r="R48" s="24"/>
      <c r="S48" s="5"/>
      <c r="T48" s="5"/>
      <c r="U48" s="1" t="s">
        <v>96</v>
      </c>
      <c r="V48" s="11">
        <v>0.05</v>
      </c>
      <c r="W48" s="1">
        <f>+INICIO!$C$34</f>
        <v>2014</v>
      </c>
      <c r="X48" s="1" t="str">
        <f>+INICIO!$B$32</f>
        <v>LATIFOLIADO</v>
      </c>
      <c r="Y48" s="50" t="str">
        <f t="shared" si="0"/>
        <v>DEJAR</v>
      </c>
      <c r="Z48" s="50" t="str">
        <f t="shared" si="1"/>
        <v>DEJAR</v>
      </c>
      <c r="AA48" s="50" t="str">
        <f t="shared" si="2"/>
        <v>DEJAR</v>
      </c>
      <c r="AB48" s="50" t="str">
        <f t="shared" si="3"/>
        <v>DEJAR</v>
      </c>
      <c r="AC48" s="52">
        <f t="shared" si="4"/>
        <v>0.41853868127450011</v>
      </c>
      <c r="AD48" s="52">
        <f t="shared" si="5"/>
        <v>8.3707736254900009</v>
      </c>
      <c r="AE48" s="52">
        <f>+IF(X48=INICIO!$B$31,0.15991*D48^2.32764,AND(X48=INICIO!$B$32)*0.13657*D48^2.38351)</f>
        <v>3772.2805096514808</v>
      </c>
      <c r="AF48" s="52">
        <f t="shared" si="6"/>
        <v>75445.610193029614</v>
      </c>
      <c r="AG48" s="52">
        <f>+AE48/1000*INICIO!$D$50</f>
        <v>1.772971839536196</v>
      </c>
      <c r="AH48" s="52">
        <f>+AF48/1000*INICIO!$D$50</f>
        <v>35.459436790723913</v>
      </c>
      <c r="AI48" s="55">
        <f>+IF(X48=INICIO!$B$31,IF(D48&lt;=82,0.15991*D48^2.32764, 0.15991*82^2.32764),AND(X48=INICIO!$B$32)*IF(D48&lt;=79.9,0.13657*D48^2.38351,0.13657*79.9^2.38351))</f>
        <v>3772.2805096514808</v>
      </c>
      <c r="AJ48" s="56">
        <f t="shared" si="7"/>
        <v>75445.610193029614</v>
      </c>
      <c r="AK48" s="56">
        <f>+AI48/1000*INICIO!$D$50</f>
        <v>1.772971839536196</v>
      </c>
      <c r="AL48" s="56">
        <f>+AJ48/1000*INICIO!$D$50</f>
        <v>35.459436790723913</v>
      </c>
      <c r="AM48" s="57" t="str">
        <f>+INICIO!$C$30</f>
        <v>UVG_B_Kg</v>
      </c>
    </row>
    <row r="49" spans="1:39" ht="15" x14ac:dyDescent="0.25">
      <c r="A49" s="24">
        <v>5</v>
      </c>
      <c r="B49" s="25">
        <f>'1BASE'!A49</f>
        <v>5</v>
      </c>
      <c r="C49" s="24">
        <f>'1BASE'!B49</f>
        <v>0</v>
      </c>
      <c r="D49" s="26">
        <f>'1BASE'!C49</f>
        <v>59.5</v>
      </c>
      <c r="E49" s="27">
        <f>'1BASE'!D49</f>
        <v>0</v>
      </c>
      <c r="F49" s="27">
        <f>'1BASE'!E49</f>
        <v>0</v>
      </c>
      <c r="G49" s="27"/>
      <c r="H49" s="26">
        <f>'1BASE'!F49</f>
        <v>0</v>
      </c>
      <c r="I49" s="24">
        <f>'1BASE'!G49</f>
        <v>0</v>
      </c>
      <c r="J49" s="24">
        <f>'1BASE'!H49</f>
        <v>0</v>
      </c>
      <c r="K49" s="24"/>
      <c r="L49" s="24"/>
      <c r="M49" s="24"/>
      <c r="N49" s="24"/>
      <c r="O49" s="24"/>
      <c r="P49" s="24"/>
      <c r="Q49" s="24"/>
      <c r="R49" s="24"/>
      <c r="S49" s="5"/>
      <c r="T49" s="5"/>
      <c r="U49" s="1" t="s">
        <v>96</v>
      </c>
      <c r="V49" s="11">
        <v>0.05</v>
      </c>
      <c r="W49" s="1">
        <f>+INICIO!$C$34</f>
        <v>2014</v>
      </c>
      <c r="X49" s="1" t="str">
        <f>+INICIO!$B$32</f>
        <v>LATIFOLIADO</v>
      </c>
      <c r="Y49" s="50" t="str">
        <f t="shared" si="0"/>
        <v>DEJAR</v>
      </c>
      <c r="Z49" s="50" t="str">
        <f t="shared" si="1"/>
        <v>DEJAR</v>
      </c>
      <c r="AA49" s="50" t="str">
        <f t="shared" si="2"/>
        <v>DEJAR</v>
      </c>
      <c r="AB49" s="50" t="str">
        <f t="shared" si="3"/>
        <v>DEJAR</v>
      </c>
      <c r="AC49" s="52">
        <f t="shared" si="4"/>
        <v>0.27805058479678163</v>
      </c>
      <c r="AD49" s="52">
        <f t="shared" si="5"/>
        <v>5.5610116959356324</v>
      </c>
      <c r="AE49" s="52">
        <f>+IF(X49=INICIO!$B$31,0.15991*D49^2.32764,AND(X49=INICIO!$B$32)*0.13657*D49^2.38351)</f>
        <v>2317.0437940439574</v>
      </c>
      <c r="AF49" s="52">
        <f t="shared" si="6"/>
        <v>46340.875880879146</v>
      </c>
      <c r="AG49" s="52">
        <f>+AE49/1000*INICIO!$D$50</f>
        <v>1.0890105832006598</v>
      </c>
      <c r="AH49" s="52">
        <f>+AF49/1000*INICIO!$D$50</f>
        <v>21.780211664013198</v>
      </c>
      <c r="AI49" s="55">
        <f>+IF(X49=INICIO!$B$31,IF(D49&lt;=82,0.15991*D49^2.32764, 0.15991*82^2.32764),AND(X49=INICIO!$B$32)*IF(D49&lt;=79.9,0.13657*D49^2.38351,0.13657*79.9^2.38351))</f>
        <v>2317.0437940439574</v>
      </c>
      <c r="AJ49" s="56">
        <f t="shared" si="7"/>
        <v>46340.875880879146</v>
      </c>
      <c r="AK49" s="56">
        <f>+AI49/1000*INICIO!$D$50</f>
        <v>1.0890105832006598</v>
      </c>
      <c r="AL49" s="56">
        <f>+AJ49/1000*INICIO!$D$50</f>
        <v>21.780211664013198</v>
      </c>
      <c r="AM49" s="57" t="str">
        <f>+INICIO!$C$30</f>
        <v>UVG_B_Kg</v>
      </c>
    </row>
    <row r="50" spans="1:39" ht="15" x14ac:dyDescent="0.25">
      <c r="A50" s="24">
        <v>5</v>
      </c>
      <c r="B50" s="25">
        <f>'1BASE'!A50</f>
        <v>6</v>
      </c>
      <c r="C50" s="24">
        <f>'1BASE'!B50</f>
        <v>0</v>
      </c>
      <c r="D50" s="26">
        <f>'1BASE'!C50</f>
        <v>55</v>
      </c>
      <c r="E50" s="27">
        <f>'1BASE'!D50</f>
        <v>0</v>
      </c>
      <c r="F50" s="27">
        <f>'1BASE'!E50</f>
        <v>0</v>
      </c>
      <c r="G50" s="27"/>
      <c r="H50" s="26">
        <f>'1BASE'!F50</f>
        <v>0</v>
      </c>
      <c r="I50" s="24">
        <f>'1BASE'!G50</f>
        <v>0</v>
      </c>
      <c r="J50" s="24">
        <f>'1BASE'!H50</f>
        <v>0</v>
      </c>
      <c r="K50" s="24"/>
      <c r="L50" s="24"/>
      <c r="M50" s="24"/>
      <c r="N50" s="24"/>
      <c r="O50" s="24"/>
      <c r="P50" s="24"/>
      <c r="Q50" s="24"/>
      <c r="R50" s="24"/>
      <c r="S50" s="5"/>
      <c r="T50" s="5"/>
      <c r="U50" s="1" t="s">
        <v>96</v>
      </c>
      <c r="V50" s="11">
        <v>0.05</v>
      </c>
      <c r="W50" s="1">
        <f>+INICIO!$C$34</f>
        <v>2014</v>
      </c>
      <c r="X50" s="1" t="str">
        <f>+INICIO!$B$32</f>
        <v>LATIFOLIADO</v>
      </c>
      <c r="Y50" s="50" t="str">
        <f t="shared" si="0"/>
        <v>DEJAR</v>
      </c>
      <c r="Z50" s="50" t="str">
        <f t="shared" si="1"/>
        <v>DEJAR</v>
      </c>
      <c r="AA50" s="50" t="str">
        <f t="shared" si="2"/>
        <v>DEJAR</v>
      </c>
      <c r="AB50" s="50" t="str">
        <f t="shared" si="3"/>
        <v>DEJAR</v>
      </c>
      <c r="AC50" s="52">
        <f t="shared" si="4"/>
        <v>0.23758294442772815</v>
      </c>
      <c r="AD50" s="52">
        <f t="shared" si="5"/>
        <v>4.7516588885545623</v>
      </c>
      <c r="AE50" s="52">
        <f>+IF(X50=INICIO!$B$31,0.15991*D50^2.32764,AND(X50=INICIO!$B$32)*0.13657*D50^2.38351)</f>
        <v>1920.9991975467647</v>
      </c>
      <c r="AF50" s="52">
        <f t="shared" si="6"/>
        <v>38419.98395093529</v>
      </c>
      <c r="AG50" s="52">
        <f>+AE50/1000*INICIO!$D$50</f>
        <v>0.90286962284697936</v>
      </c>
      <c r="AH50" s="52">
        <f>+AF50/1000*INICIO!$D$50</f>
        <v>18.057392456939585</v>
      </c>
      <c r="AI50" s="55">
        <f>+IF(X50=INICIO!$B$31,IF(D50&lt;=82,0.15991*D50^2.32764, 0.15991*82^2.32764),AND(X50=INICIO!$B$32)*IF(D50&lt;=79.9,0.13657*D50^2.38351,0.13657*79.9^2.38351))</f>
        <v>1920.9991975467647</v>
      </c>
      <c r="AJ50" s="56">
        <f t="shared" si="7"/>
        <v>38419.98395093529</v>
      </c>
      <c r="AK50" s="56">
        <f>+AI50/1000*INICIO!$D$50</f>
        <v>0.90286962284697936</v>
      </c>
      <c r="AL50" s="56">
        <f>+AJ50/1000*INICIO!$D$50</f>
        <v>18.057392456939585</v>
      </c>
      <c r="AM50" s="57" t="str">
        <f>+INICIO!$C$30</f>
        <v>UVG_B_Kg</v>
      </c>
    </row>
    <row r="51" spans="1:39" ht="15" x14ac:dyDescent="0.25">
      <c r="A51" s="24">
        <v>6</v>
      </c>
      <c r="B51" s="25">
        <f>'1BASE'!A51</f>
        <v>1</v>
      </c>
      <c r="C51" s="24" t="str">
        <f>'1BASE'!B51</f>
        <v>Cedron</v>
      </c>
      <c r="D51" s="26">
        <f>'1BASE'!C51</f>
        <v>47.3</v>
      </c>
      <c r="E51" s="27">
        <f>'1BASE'!D51</f>
        <v>55</v>
      </c>
      <c r="F51" s="27">
        <f>'1BASE'!E51</f>
        <v>90</v>
      </c>
      <c r="G51" s="32">
        <f>(TAN(RADIANS(E51))*20)+(TAN(RADIANS(F51))*20)</f>
        <v>3.2649104555238144E+17</v>
      </c>
      <c r="H51" s="26">
        <f>'1BASE'!F51</f>
        <v>0</v>
      </c>
      <c r="I51" s="22" t="str">
        <f>'1BASE'!G51</f>
        <v>X</v>
      </c>
      <c r="J51" s="22" t="str">
        <f>'1BASE'!H51</f>
        <v>Y</v>
      </c>
      <c r="K51" s="24"/>
      <c r="L51" s="24"/>
      <c r="M51" s="24"/>
      <c r="N51" s="24"/>
      <c r="O51" s="24"/>
      <c r="P51" s="24"/>
      <c r="Q51" s="24"/>
      <c r="R51" s="24"/>
      <c r="S51" s="5"/>
      <c r="T51" s="5"/>
      <c r="U51" s="1" t="s">
        <v>96</v>
      </c>
      <c r="V51" s="11">
        <v>0.05</v>
      </c>
      <c r="W51" s="1">
        <f>+INICIO!$C$34</f>
        <v>2014</v>
      </c>
      <c r="X51" s="1" t="str">
        <f>+INICIO!$B$32</f>
        <v>LATIFOLIADO</v>
      </c>
      <c r="Y51" s="50" t="str">
        <f t="shared" si="0"/>
        <v>DEJAR</v>
      </c>
      <c r="Z51" s="50" t="str">
        <f t="shared" si="1"/>
        <v>DEJAR</v>
      </c>
      <c r="AA51" s="50" t="str">
        <f t="shared" si="2"/>
        <v>DEJAR</v>
      </c>
      <c r="AB51" s="50" t="str">
        <f t="shared" si="3"/>
        <v>DEJAR</v>
      </c>
      <c r="AC51" s="52">
        <f t="shared" si="4"/>
        <v>0.17571634569874769</v>
      </c>
      <c r="AD51" s="52">
        <f t="shared" si="5"/>
        <v>3.5143269139749536</v>
      </c>
      <c r="AE51" s="52">
        <f>+IF(X51=INICIO!$B$31,0.15991*D51^2.32764,AND(X51=INICIO!$B$32)*0.13657*D51^2.38351)</f>
        <v>1340.9222186889281</v>
      </c>
      <c r="AF51" s="52">
        <f t="shared" si="6"/>
        <v>26818.444373778559</v>
      </c>
      <c r="AG51" s="52">
        <f>+AE51/1000*INICIO!$D$50</f>
        <v>0.63023344278379612</v>
      </c>
      <c r="AH51" s="52">
        <f>+AF51/1000*INICIO!$D$50</f>
        <v>12.604668855675921</v>
      </c>
      <c r="AI51" s="55">
        <f>+IF(X51=INICIO!$B$31,IF(D51&lt;=82,0.15991*D51^2.32764, 0.15991*82^2.32764),AND(X51=INICIO!$B$32)*IF(D51&lt;=79.9,0.13657*D51^2.38351,0.13657*79.9^2.38351))</f>
        <v>1340.9222186889281</v>
      </c>
      <c r="AJ51" s="56">
        <f t="shared" si="7"/>
        <v>26818.444373778559</v>
      </c>
      <c r="AK51" s="56">
        <f>+AI51/1000*INICIO!$D$50</f>
        <v>0.63023344278379612</v>
      </c>
      <c r="AL51" s="56">
        <f>+AJ51/1000*INICIO!$D$50</f>
        <v>12.604668855675921</v>
      </c>
      <c r="AM51" s="57" t="str">
        <f>+INICIO!$C$30</f>
        <v>UVG_B_Kg</v>
      </c>
    </row>
    <row r="52" spans="1:39" ht="15" x14ac:dyDescent="0.25">
      <c r="A52" s="24">
        <v>6</v>
      </c>
      <c r="B52" s="25">
        <f>'1BASE'!A52</f>
        <v>2</v>
      </c>
      <c r="C52" s="24" t="str">
        <f>'1BASE'!B52</f>
        <v>Lloron</v>
      </c>
      <c r="D52" s="26">
        <f>'1BASE'!C52</f>
        <v>32</v>
      </c>
      <c r="E52" s="27">
        <f>'1BASE'!D52</f>
        <v>50</v>
      </c>
      <c r="F52" s="27">
        <f>'1BASE'!E52</f>
        <v>60</v>
      </c>
      <c r="G52" s="27">
        <f>(TAN(RADIANS(E52))*20)+(TAN(RADIANS(F52))*20)</f>
        <v>58.476088003261737</v>
      </c>
      <c r="H52" s="26">
        <f>'1BASE'!F52</f>
        <v>0</v>
      </c>
      <c r="I52" s="22" t="str">
        <f>'1BASE'!G52</f>
        <v>88° 38' 46.2''</v>
      </c>
      <c r="J52" s="22" t="str">
        <f>'1BASE'!H52</f>
        <v>15° 41' 5.2''</v>
      </c>
      <c r="K52" s="24" t="str">
        <f>LEFT(I52,2)</f>
        <v>88</v>
      </c>
      <c r="L52" s="24" t="str">
        <f>+LEFT(RIGHT(I52,10),2)</f>
        <v>38</v>
      </c>
      <c r="M52" s="24" t="str">
        <f>+LEFT(RIGHT(I52,6),4)</f>
        <v>46.2</v>
      </c>
      <c r="N52" s="24">
        <f>(K52+((L52+(M52/60)/60)/60))*-1</f>
        <v>-88.633547222222219</v>
      </c>
      <c r="O52" s="24" t="str">
        <f>LEFT(J52,2)</f>
        <v>15</v>
      </c>
      <c r="P52" s="24" t="str">
        <f>+LEFT(RIGHT(J52,9),2)</f>
        <v>41</v>
      </c>
      <c r="Q52" s="24" t="str">
        <f>+LEFT(RIGHT(J52,6),4)</f>
        <v xml:space="preserve"> 5.2</v>
      </c>
      <c r="R52" s="24">
        <f>O52+((P52+(Q52/60)/60)/60)</f>
        <v>15.683357407407408</v>
      </c>
      <c r="S52" s="11">
        <v>700076.61230599997</v>
      </c>
      <c r="T52" s="11">
        <v>1735138.72382</v>
      </c>
      <c r="U52" s="1" t="s">
        <v>96</v>
      </c>
      <c r="V52" s="11">
        <v>0.05</v>
      </c>
      <c r="W52" s="1">
        <f>+INICIO!$C$34</f>
        <v>2014</v>
      </c>
      <c r="X52" s="1" t="str">
        <f>+INICIO!$B$32</f>
        <v>LATIFOLIADO</v>
      </c>
      <c r="Y52" s="50" t="str">
        <f t="shared" si="0"/>
        <v>DEJAR</v>
      </c>
      <c r="Z52" s="50" t="str">
        <f t="shared" si="1"/>
        <v>DEJAR</v>
      </c>
      <c r="AA52" s="50" t="str">
        <f t="shared" si="2"/>
        <v>DEJAR</v>
      </c>
      <c r="AB52" s="50" t="str">
        <f t="shared" si="3"/>
        <v>DEJAR</v>
      </c>
      <c r="AC52" s="52">
        <f t="shared" si="4"/>
        <v>8.0424771931898703E-2</v>
      </c>
      <c r="AD52" s="52">
        <f t="shared" si="5"/>
        <v>1.608495438637974</v>
      </c>
      <c r="AE52" s="52">
        <f>+IF(X52=INICIO!$B$31,0.15991*D52^2.32764,AND(X52=INICIO!$B$32)*0.13657*D52^2.38351)</f>
        <v>528.31791084648671</v>
      </c>
      <c r="AF52" s="52">
        <f t="shared" si="6"/>
        <v>10566.358216929733</v>
      </c>
      <c r="AG52" s="52">
        <f>+AE52/1000*INICIO!$D$50</f>
        <v>0.24830941809784873</v>
      </c>
      <c r="AH52" s="52">
        <f>+AF52/1000*INICIO!$D$50</f>
        <v>4.9661883619569744</v>
      </c>
      <c r="AI52" s="55">
        <f>+IF(X52=INICIO!$B$31,IF(D52&lt;=82,0.15991*D52^2.32764, 0.15991*82^2.32764),AND(X52=INICIO!$B$32)*IF(D52&lt;=79.9,0.13657*D52^2.38351,0.13657*79.9^2.38351))</f>
        <v>528.31791084648671</v>
      </c>
      <c r="AJ52" s="56">
        <f t="shared" si="7"/>
        <v>10566.358216929733</v>
      </c>
      <c r="AK52" s="56">
        <f>+AI52/1000*INICIO!$D$50</f>
        <v>0.24830941809784873</v>
      </c>
      <c r="AL52" s="56">
        <f>+AJ52/1000*INICIO!$D$50</f>
        <v>4.9661883619569744</v>
      </c>
      <c r="AM52" s="57" t="str">
        <f>+INICIO!$C$30</f>
        <v>UVG_B_Kg</v>
      </c>
    </row>
    <row r="53" spans="1:39" ht="15" x14ac:dyDescent="0.25">
      <c r="A53" s="24">
        <v>6</v>
      </c>
      <c r="B53" s="25">
        <f>'1BASE'!A53</f>
        <v>3</v>
      </c>
      <c r="C53" s="24" t="str">
        <f>'1BASE'!B53</f>
        <v>Chichicaste</v>
      </c>
      <c r="D53" s="26">
        <f>'1BASE'!C53</f>
        <v>33.799999999999997</v>
      </c>
      <c r="E53" s="27">
        <f>'1BASE'!D53</f>
        <v>60</v>
      </c>
      <c r="F53" s="27">
        <f>'1BASE'!E53</f>
        <v>90</v>
      </c>
      <c r="G53" s="32">
        <f>(TAN(RADIANS(E53))*20)+(TAN(RADIANS(F53))*20)</f>
        <v>3.264910455523815E+17</v>
      </c>
      <c r="H53" s="26">
        <f>'1BASE'!F53</f>
        <v>0</v>
      </c>
      <c r="I53" s="24">
        <f>'1BASE'!G53</f>
        <v>0</v>
      </c>
      <c r="J53" s="24">
        <f>'1BASE'!H53</f>
        <v>0</v>
      </c>
      <c r="K53" s="24"/>
      <c r="L53" s="24"/>
      <c r="M53" s="24"/>
      <c r="N53" s="24"/>
      <c r="O53" s="24"/>
      <c r="P53" s="24"/>
      <c r="Q53" s="24"/>
      <c r="R53" s="24"/>
      <c r="S53" s="5"/>
      <c r="T53" s="5"/>
      <c r="U53" s="1" t="s">
        <v>96</v>
      </c>
      <c r="V53" s="11">
        <v>0.05</v>
      </c>
      <c r="W53" s="1">
        <f>+INICIO!$C$34</f>
        <v>2014</v>
      </c>
      <c r="X53" s="1" t="str">
        <f>+INICIO!$B$32</f>
        <v>LATIFOLIADO</v>
      </c>
      <c r="Y53" s="50" t="str">
        <f t="shared" si="0"/>
        <v>DEJAR</v>
      </c>
      <c r="Z53" s="50" t="str">
        <f t="shared" si="1"/>
        <v>DEJAR</v>
      </c>
      <c r="AA53" s="50" t="str">
        <f t="shared" si="2"/>
        <v>DEJAR</v>
      </c>
      <c r="AB53" s="50" t="str">
        <f t="shared" si="3"/>
        <v>DEJAR</v>
      </c>
      <c r="AC53" s="52">
        <f t="shared" si="4"/>
        <v>8.972702777917807E-2</v>
      </c>
      <c r="AD53" s="52">
        <f t="shared" si="5"/>
        <v>1.7945405555835614</v>
      </c>
      <c r="AE53" s="52">
        <f>+IF(X53=INICIO!$B$31,0.15991*D53^2.32764,AND(X53=INICIO!$B$32)*0.13657*D53^2.38351)</f>
        <v>601.92662472946552</v>
      </c>
      <c r="AF53" s="52">
        <f t="shared" si="6"/>
        <v>12038.53249458931</v>
      </c>
      <c r="AG53" s="52">
        <f>+AE53/1000*INICIO!$D$50</f>
        <v>0.28290551362284883</v>
      </c>
      <c r="AH53" s="52">
        <f>+AF53/1000*INICIO!$D$50</f>
        <v>5.658110272456975</v>
      </c>
      <c r="AI53" s="55">
        <f>+IF(X53=INICIO!$B$31,IF(D53&lt;=82,0.15991*D53^2.32764, 0.15991*82^2.32764),AND(X53=INICIO!$B$32)*IF(D53&lt;=79.9,0.13657*D53^2.38351,0.13657*79.9^2.38351))</f>
        <v>601.92662472946552</v>
      </c>
      <c r="AJ53" s="56">
        <f t="shared" si="7"/>
        <v>12038.53249458931</v>
      </c>
      <c r="AK53" s="56">
        <f>+AI53/1000*INICIO!$D$50</f>
        <v>0.28290551362284883</v>
      </c>
      <c r="AL53" s="56">
        <f>+AJ53/1000*INICIO!$D$50</f>
        <v>5.658110272456975</v>
      </c>
      <c r="AM53" s="57" t="str">
        <f>+INICIO!$C$30</f>
        <v>UVG_B_Kg</v>
      </c>
    </row>
    <row r="54" spans="1:39" ht="15" x14ac:dyDescent="0.25">
      <c r="A54" s="24">
        <v>6</v>
      </c>
      <c r="B54" s="25">
        <f>'1BASE'!A54</f>
        <v>4</v>
      </c>
      <c r="C54" s="24">
        <f>'1BASE'!B54</f>
        <v>0</v>
      </c>
      <c r="D54" s="26">
        <f>'1BASE'!C54</f>
        <v>26.6</v>
      </c>
      <c r="E54" s="27">
        <f>'1BASE'!D54</f>
        <v>0</v>
      </c>
      <c r="F54" s="27">
        <f>'1BASE'!E54</f>
        <v>0</v>
      </c>
      <c r="G54" s="27"/>
      <c r="H54" s="26">
        <f>'1BASE'!F54</f>
        <v>0</v>
      </c>
      <c r="I54" s="24">
        <f>'1BASE'!G54</f>
        <v>0</v>
      </c>
      <c r="J54" s="24">
        <f>'1BASE'!H54</f>
        <v>0</v>
      </c>
      <c r="K54" s="24"/>
      <c r="L54" s="24"/>
      <c r="M54" s="24"/>
      <c r="N54" s="24"/>
      <c r="O54" s="24"/>
      <c r="P54" s="24"/>
      <c r="Q54" s="24"/>
      <c r="R54" s="24"/>
      <c r="S54" s="5"/>
      <c r="T54" s="5"/>
      <c r="U54" s="1" t="s">
        <v>96</v>
      </c>
      <c r="V54" s="11">
        <v>0.05</v>
      </c>
      <c r="W54" s="1">
        <f>+INICIO!$C$34</f>
        <v>2014</v>
      </c>
      <c r="X54" s="1" t="str">
        <f>+INICIO!$B$32</f>
        <v>LATIFOLIADO</v>
      </c>
      <c r="Y54" s="50" t="str">
        <f t="shared" si="0"/>
        <v>DEJAR</v>
      </c>
      <c r="Z54" s="50" t="str">
        <f t="shared" si="1"/>
        <v>DEJAR</v>
      </c>
      <c r="AA54" s="50" t="str">
        <f t="shared" si="2"/>
        <v>DEJAR</v>
      </c>
      <c r="AB54" s="50" t="str">
        <f t="shared" si="3"/>
        <v>DEJAR</v>
      </c>
      <c r="AC54" s="52">
        <f t="shared" si="4"/>
        <v>5.5571632449349859E-2</v>
      </c>
      <c r="AD54" s="52">
        <f t="shared" si="5"/>
        <v>1.111432648986997</v>
      </c>
      <c r="AE54" s="52">
        <f>+IF(X54=INICIO!$B$31,0.15991*D54^2.32764,AND(X54=INICIO!$B$32)*0.13657*D54^2.38351)</f>
        <v>340.07518198463231</v>
      </c>
      <c r="AF54" s="52">
        <f t="shared" si="6"/>
        <v>6801.5036396926462</v>
      </c>
      <c r="AG54" s="52">
        <f>+AE54/1000*INICIO!$D$50</f>
        <v>0.15983533553277718</v>
      </c>
      <c r="AH54" s="52">
        <f>+AF54/1000*INICIO!$D$50</f>
        <v>3.1967067106555436</v>
      </c>
      <c r="AI54" s="55">
        <f>+IF(X54=INICIO!$B$31,IF(D54&lt;=82,0.15991*D54^2.32764, 0.15991*82^2.32764),AND(X54=INICIO!$B$32)*IF(D54&lt;=79.9,0.13657*D54^2.38351,0.13657*79.9^2.38351))</f>
        <v>340.07518198463231</v>
      </c>
      <c r="AJ54" s="56">
        <f t="shared" si="7"/>
        <v>6801.5036396926462</v>
      </c>
      <c r="AK54" s="56">
        <f>+AI54/1000*INICIO!$D$50</f>
        <v>0.15983533553277718</v>
      </c>
      <c r="AL54" s="56">
        <f>+AJ54/1000*INICIO!$D$50</f>
        <v>3.1967067106555436</v>
      </c>
      <c r="AM54" s="57" t="str">
        <f>+INICIO!$C$30</f>
        <v>UVG_B_Kg</v>
      </c>
    </row>
    <row r="55" spans="1:39" ht="15" x14ac:dyDescent="0.25">
      <c r="A55" s="24">
        <v>6</v>
      </c>
      <c r="B55" s="25">
        <f>'1BASE'!A55</f>
        <v>5</v>
      </c>
      <c r="C55" s="24">
        <f>'1BASE'!B55</f>
        <v>0</v>
      </c>
      <c r="D55" s="26">
        <f>'1BASE'!C55</f>
        <v>23.5</v>
      </c>
      <c r="E55" s="27">
        <f>'1BASE'!D55</f>
        <v>0</v>
      </c>
      <c r="F55" s="27">
        <f>'1BASE'!E55</f>
        <v>0</v>
      </c>
      <c r="G55" s="27"/>
      <c r="H55" s="26">
        <f>'1BASE'!F55</f>
        <v>8</v>
      </c>
      <c r="I55" s="24">
        <f>'1BASE'!G55</f>
        <v>0</v>
      </c>
      <c r="J55" s="24">
        <f>'1BASE'!H55</f>
        <v>0</v>
      </c>
      <c r="K55" s="24"/>
      <c r="L55" s="24"/>
      <c r="M55" s="24"/>
      <c r="N55" s="24"/>
      <c r="O55" s="24"/>
      <c r="P55" s="24"/>
      <c r="Q55" s="24"/>
      <c r="R55" s="24"/>
      <c r="S55" s="5"/>
      <c r="T55" s="5"/>
      <c r="U55" s="1" t="s">
        <v>96</v>
      </c>
      <c r="V55" s="11">
        <v>0.05</v>
      </c>
      <c r="W55" s="1">
        <f>+INICIO!$C$34</f>
        <v>2014</v>
      </c>
      <c r="X55" s="1" t="str">
        <f>+INICIO!$B$32</f>
        <v>LATIFOLIADO</v>
      </c>
      <c r="Y55" s="50" t="str">
        <f t="shared" si="0"/>
        <v>DEJAR</v>
      </c>
      <c r="Z55" s="50" t="str">
        <f t="shared" si="1"/>
        <v>DEJAR</v>
      </c>
      <c r="AA55" s="50" t="str">
        <f t="shared" si="2"/>
        <v>DEJAR</v>
      </c>
      <c r="AB55" s="50" t="str">
        <f t="shared" si="3"/>
        <v>DEJAR</v>
      </c>
      <c r="AC55" s="52">
        <f t="shared" si="4"/>
        <v>4.3373613573624077E-2</v>
      </c>
      <c r="AD55" s="52">
        <f t="shared" si="5"/>
        <v>0.86747227147248152</v>
      </c>
      <c r="AE55" s="52">
        <f>+IF(X55=INICIO!$B$31,0.15991*D55^2.32764,AND(X55=INICIO!$B$32)*0.13657*D55^2.38351)</f>
        <v>253.10998017593391</v>
      </c>
      <c r="AF55" s="52">
        <f t="shared" si="6"/>
        <v>5062.1996035186776</v>
      </c>
      <c r="AG55" s="52">
        <f>+AE55/1000*INICIO!$D$50</f>
        <v>0.11896169068268893</v>
      </c>
      <c r="AH55" s="52">
        <f>+AF55/1000*INICIO!$D$50</f>
        <v>2.3792338136537783</v>
      </c>
      <c r="AI55" s="55">
        <f>+IF(X55=INICIO!$B$31,IF(D55&lt;=82,0.15991*D55^2.32764, 0.15991*82^2.32764),AND(X55=INICIO!$B$32)*IF(D55&lt;=79.9,0.13657*D55^2.38351,0.13657*79.9^2.38351))</f>
        <v>253.10998017593391</v>
      </c>
      <c r="AJ55" s="56">
        <f t="shared" si="7"/>
        <v>5062.1996035186776</v>
      </c>
      <c r="AK55" s="56">
        <f>+AI55/1000*INICIO!$D$50</f>
        <v>0.11896169068268893</v>
      </c>
      <c r="AL55" s="56">
        <f>+AJ55/1000*INICIO!$D$50</f>
        <v>2.3792338136537783</v>
      </c>
      <c r="AM55" s="57" t="str">
        <f>+INICIO!$C$30</f>
        <v>UVG_B_Kg</v>
      </c>
    </row>
    <row r="56" spans="1:39" ht="15" x14ac:dyDescent="0.25">
      <c r="A56" s="24">
        <v>6</v>
      </c>
      <c r="B56" s="25">
        <f>'1BASE'!A56</f>
        <v>6</v>
      </c>
      <c r="C56" s="24" t="str">
        <f>'1BASE'!B56</f>
        <v>Chichicaste</v>
      </c>
      <c r="D56" s="26">
        <f>'1BASE'!C56</f>
        <v>75.5</v>
      </c>
      <c r="E56" s="27">
        <f>'1BASE'!D56</f>
        <v>0</v>
      </c>
      <c r="F56" s="27">
        <f>'1BASE'!E56</f>
        <v>0</v>
      </c>
      <c r="G56" s="27"/>
      <c r="H56" s="26">
        <f>'1BASE'!F56</f>
        <v>10</v>
      </c>
      <c r="I56" s="24">
        <f>'1BASE'!G56</f>
        <v>0</v>
      </c>
      <c r="J56" s="24">
        <f>'1BASE'!H56</f>
        <v>0</v>
      </c>
      <c r="K56" s="24"/>
      <c r="L56" s="24"/>
      <c r="M56" s="24"/>
      <c r="N56" s="24"/>
      <c r="O56" s="24"/>
      <c r="P56" s="24"/>
      <c r="Q56" s="24"/>
      <c r="R56" s="24"/>
      <c r="S56" s="5"/>
      <c r="T56" s="5"/>
      <c r="U56" s="1" t="s">
        <v>96</v>
      </c>
      <c r="V56" s="11">
        <v>0.05</v>
      </c>
      <c r="W56" s="1">
        <f>+INICIO!$C$34</f>
        <v>2014</v>
      </c>
      <c r="X56" s="1" t="str">
        <f>+INICIO!$B$32</f>
        <v>LATIFOLIADO</v>
      </c>
      <c r="Y56" s="50" t="str">
        <f t="shared" si="0"/>
        <v>DEJAR</v>
      </c>
      <c r="Z56" s="50" t="str">
        <f t="shared" si="1"/>
        <v>DEJAR</v>
      </c>
      <c r="AA56" s="50" t="str">
        <f t="shared" si="2"/>
        <v>DEJAR</v>
      </c>
      <c r="AB56" s="50" t="str">
        <f t="shared" si="3"/>
        <v>DEJAR</v>
      </c>
      <c r="AC56" s="52">
        <f t="shared" si="4"/>
        <v>0.44769658809063045</v>
      </c>
      <c r="AD56" s="52">
        <f t="shared" si="5"/>
        <v>8.9539317618126084</v>
      </c>
      <c r="AE56" s="52">
        <f>+IF(X56=INICIO!$B$31,0.15991*D56^2.32764,AND(X56=INICIO!$B$32)*0.13657*D56^2.38351)</f>
        <v>4087.5271288806257</v>
      </c>
      <c r="AF56" s="52">
        <f t="shared" si="6"/>
        <v>81750.542577612505</v>
      </c>
      <c r="AG56" s="52">
        <f>+AE56/1000*INICIO!$D$50</f>
        <v>1.921137750573894</v>
      </c>
      <c r="AH56" s="52">
        <f>+AF56/1000*INICIO!$D$50</f>
        <v>38.422755011477875</v>
      </c>
      <c r="AI56" s="55">
        <f>+IF(X56=INICIO!$B$31,IF(D56&lt;=82,0.15991*D56^2.32764, 0.15991*82^2.32764),AND(X56=INICIO!$B$32)*IF(D56&lt;=79.9,0.13657*D56^2.38351,0.13657*79.9^2.38351))</f>
        <v>4087.5271288806257</v>
      </c>
      <c r="AJ56" s="56">
        <f t="shared" si="7"/>
        <v>81750.542577612505</v>
      </c>
      <c r="AK56" s="56">
        <f>+AI56/1000*INICIO!$D$50</f>
        <v>1.921137750573894</v>
      </c>
      <c r="AL56" s="56">
        <f>+AJ56/1000*INICIO!$D$50</f>
        <v>38.422755011477875</v>
      </c>
      <c r="AM56" s="57" t="str">
        <f>+INICIO!$C$30</f>
        <v>UVG_B_Kg</v>
      </c>
    </row>
    <row r="57" spans="1:39" ht="15" x14ac:dyDescent="0.25">
      <c r="A57" s="24">
        <v>7</v>
      </c>
      <c r="B57" s="25">
        <f>'1BASE'!A57</f>
        <v>1</v>
      </c>
      <c r="C57" s="24" t="str">
        <f>'1BASE'!B57</f>
        <v>Chichicaste</v>
      </c>
      <c r="D57" s="26">
        <f>'1BASE'!C57</f>
        <v>68</v>
      </c>
      <c r="E57" s="27">
        <f>'1BASE'!D57</f>
        <v>60</v>
      </c>
      <c r="F57" s="27">
        <f>'1BASE'!E57</f>
        <v>140</v>
      </c>
      <c r="G57" s="27">
        <f>(TAN(RADIANS(E57))*20)+(TAN(RADIANS(F57))*20)</f>
        <v>17.859023527831926</v>
      </c>
      <c r="H57" s="26">
        <f>'1BASE'!F57</f>
        <v>8</v>
      </c>
      <c r="I57" s="22" t="str">
        <f>'1BASE'!G57</f>
        <v>X</v>
      </c>
      <c r="J57" s="22" t="str">
        <f>'1BASE'!H57</f>
        <v>Y</v>
      </c>
      <c r="K57" s="24"/>
      <c r="L57" s="24"/>
      <c r="M57" s="24"/>
      <c r="N57" s="24"/>
      <c r="O57" s="24"/>
      <c r="P57" s="24"/>
      <c r="Q57" s="24"/>
      <c r="R57" s="24"/>
      <c r="S57" s="5"/>
      <c r="T57" s="5"/>
      <c r="U57" s="1" t="s">
        <v>96</v>
      </c>
      <c r="V57" s="11">
        <v>0.05</v>
      </c>
      <c r="W57" s="1">
        <f>+INICIO!$C$34</f>
        <v>2014</v>
      </c>
      <c r="X57" s="1" t="str">
        <f>+INICIO!$B$32</f>
        <v>LATIFOLIADO</v>
      </c>
      <c r="Y57" s="50" t="str">
        <f t="shared" si="0"/>
        <v>DEJAR</v>
      </c>
      <c r="Z57" s="50" t="str">
        <f t="shared" si="1"/>
        <v>DEJAR</v>
      </c>
      <c r="AA57" s="50" t="str">
        <f t="shared" si="2"/>
        <v>DEJAR</v>
      </c>
      <c r="AB57" s="50" t="str">
        <f t="shared" si="3"/>
        <v>DEJAR</v>
      </c>
      <c r="AC57" s="52">
        <f t="shared" si="4"/>
        <v>0.36316811075498018</v>
      </c>
      <c r="AD57" s="52">
        <f t="shared" si="5"/>
        <v>7.2633622150996029</v>
      </c>
      <c r="AE57" s="52">
        <f>+IF(X57=INICIO!$B$31,0.15991*D57^2.32764,AND(X57=INICIO!$B$32)*0.13657*D57^2.38351)</f>
        <v>3185.3607760375917</v>
      </c>
      <c r="AF57" s="52">
        <f t="shared" si="6"/>
        <v>63707.21552075183</v>
      </c>
      <c r="AG57" s="52">
        <f>+AE57/1000*INICIO!$D$50</f>
        <v>1.4971195647376681</v>
      </c>
      <c r="AH57" s="52">
        <f>+AF57/1000*INICIO!$D$50</f>
        <v>29.94239129475336</v>
      </c>
      <c r="AI57" s="55">
        <f>+IF(X57=INICIO!$B$31,IF(D57&lt;=82,0.15991*D57^2.32764, 0.15991*82^2.32764),AND(X57=INICIO!$B$32)*IF(D57&lt;=79.9,0.13657*D57^2.38351,0.13657*79.9^2.38351))</f>
        <v>3185.3607760375917</v>
      </c>
      <c r="AJ57" s="56">
        <f t="shared" si="7"/>
        <v>63707.21552075183</v>
      </c>
      <c r="AK57" s="56">
        <f>+AI57/1000*INICIO!$D$50</f>
        <v>1.4971195647376681</v>
      </c>
      <c r="AL57" s="56">
        <f>+AJ57/1000*INICIO!$D$50</f>
        <v>29.94239129475336</v>
      </c>
      <c r="AM57" s="57" t="str">
        <f>+INICIO!$C$30</f>
        <v>UVG_B_Kg</v>
      </c>
    </row>
    <row r="58" spans="1:39" ht="15" x14ac:dyDescent="0.25">
      <c r="A58" s="24">
        <v>7</v>
      </c>
      <c r="B58" s="25">
        <f>'1BASE'!A58</f>
        <v>2</v>
      </c>
      <c r="C58" s="24">
        <f>'1BASE'!B58</f>
        <v>0</v>
      </c>
      <c r="D58" s="26">
        <f>'1BASE'!C58</f>
        <v>29</v>
      </c>
      <c r="E58" s="27">
        <f>'1BASE'!D58</f>
        <v>0</v>
      </c>
      <c r="F58" s="27">
        <f>'1BASE'!E58</f>
        <v>0</v>
      </c>
      <c r="G58" s="27"/>
      <c r="H58" s="26">
        <f>'1BASE'!F58</f>
        <v>0</v>
      </c>
      <c r="I58" s="22" t="str">
        <f>'1BASE'!G58</f>
        <v>88° 38' 46.1''</v>
      </c>
      <c r="J58" s="22" t="str">
        <f>'1BASE'!H58</f>
        <v>15° 41' 7.2''</v>
      </c>
      <c r="K58" s="24" t="str">
        <f>LEFT(I58,2)</f>
        <v>88</v>
      </c>
      <c r="L58" s="24" t="str">
        <f>+LEFT(RIGHT(I58,10),2)</f>
        <v>38</v>
      </c>
      <c r="M58" s="24" t="str">
        <f>+LEFT(RIGHT(I58,6),4)</f>
        <v>46.1</v>
      </c>
      <c r="N58" s="24">
        <f>(K58+((L58+(M58/60)/60)/60))*-1</f>
        <v>-88.633546759259261</v>
      </c>
      <c r="O58" s="24" t="str">
        <f>LEFT(J58,2)</f>
        <v>15</v>
      </c>
      <c r="P58" s="24" t="str">
        <f>+LEFT(RIGHT(J58,9),2)</f>
        <v>41</v>
      </c>
      <c r="Q58" s="24" t="str">
        <f>+LEFT(RIGHT(J58,6),4)</f>
        <v xml:space="preserve"> 7.2</v>
      </c>
      <c r="R58" s="24">
        <f>O58+((P58+(Q58/60)/60)/60)</f>
        <v>15.683366666666666</v>
      </c>
      <c r="S58" s="11">
        <v>700076.65292100003</v>
      </c>
      <c r="T58" s="11">
        <v>1735139.74911</v>
      </c>
      <c r="U58" s="1" t="s">
        <v>96</v>
      </c>
      <c r="V58" s="11">
        <v>0.05</v>
      </c>
      <c r="W58" s="1">
        <f>+INICIO!$C$34</f>
        <v>2014</v>
      </c>
      <c r="X58" s="1" t="str">
        <f>+INICIO!$B$32</f>
        <v>LATIFOLIADO</v>
      </c>
      <c r="Y58" s="50" t="str">
        <f t="shared" si="0"/>
        <v>DEJAR</v>
      </c>
      <c r="Z58" s="50" t="str">
        <f t="shared" si="1"/>
        <v>DEJAR</v>
      </c>
      <c r="AA58" s="50" t="str">
        <f t="shared" si="2"/>
        <v>DEJAR</v>
      </c>
      <c r="AB58" s="50" t="str">
        <f t="shared" si="3"/>
        <v>DEJAR</v>
      </c>
      <c r="AC58" s="52">
        <f t="shared" si="4"/>
        <v>6.6051985541725394E-2</v>
      </c>
      <c r="AD58" s="52">
        <f t="shared" si="5"/>
        <v>1.3210397108345078</v>
      </c>
      <c r="AE58" s="52">
        <f>+IF(X58=INICIO!$B$31,0.15991*D58^2.32764,AND(X58=INICIO!$B$32)*0.13657*D58^2.38351)</f>
        <v>417.82609631752575</v>
      </c>
      <c r="AF58" s="52">
        <f t="shared" si="6"/>
        <v>8356.5219263505151</v>
      </c>
      <c r="AG58" s="52">
        <f>+AE58/1000*INICIO!$D$50</f>
        <v>0.1963782652692371</v>
      </c>
      <c r="AH58" s="52">
        <f>+AF58/1000*INICIO!$D$50</f>
        <v>3.9275653053847419</v>
      </c>
      <c r="AI58" s="55">
        <f>+IF(X58=INICIO!$B$31,IF(D58&lt;=82,0.15991*D58^2.32764, 0.15991*82^2.32764),AND(X58=INICIO!$B$32)*IF(D58&lt;=79.9,0.13657*D58^2.38351,0.13657*79.9^2.38351))</f>
        <v>417.82609631752575</v>
      </c>
      <c r="AJ58" s="56">
        <f t="shared" si="7"/>
        <v>8356.5219263505151</v>
      </c>
      <c r="AK58" s="56">
        <f>+AI58/1000*INICIO!$D$50</f>
        <v>0.1963782652692371</v>
      </c>
      <c r="AL58" s="56">
        <f>+AJ58/1000*INICIO!$D$50</f>
        <v>3.9275653053847419</v>
      </c>
      <c r="AM58" s="57" t="str">
        <f>+INICIO!$C$30</f>
        <v>UVG_B_Kg</v>
      </c>
    </row>
    <row r="59" spans="1:39" ht="15" x14ac:dyDescent="0.25">
      <c r="A59" s="24">
        <v>7</v>
      </c>
      <c r="B59" s="25">
        <f>'1BASE'!A59</f>
        <v>3</v>
      </c>
      <c r="C59" s="24">
        <f>'1BASE'!B59</f>
        <v>0</v>
      </c>
      <c r="D59" s="26">
        <f>'1BASE'!C59</f>
        <v>32</v>
      </c>
      <c r="E59" s="27">
        <f>'1BASE'!D59</f>
        <v>0</v>
      </c>
      <c r="F59" s="27">
        <f>'1BASE'!E59</f>
        <v>0</v>
      </c>
      <c r="G59" s="27"/>
      <c r="H59" s="26">
        <f>'1BASE'!F59</f>
        <v>0</v>
      </c>
      <c r="I59" s="24">
        <f>'1BASE'!G59</f>
        <v>0</v>
      </c>
      <c r="J59" s="24">
        <f>'1BASE'!H59</f>
        <v>0</v>
      </c>
      <c r="K59" s="24"/>
      <c r="L59" s="24"/>
      <c r="M59" s="24"/>
      <c r="N59" s="24"/>
      <c r="O59" s="24"/>
      <c r="P59" s="24"/>
      <c r="Q59" s="24"/>
      <c r="R59" s="24"/>
      <c r="S59" s="5"/>
      <c r="T59" s="5"/>
      <c r="U59" s="1" t="s">
        <v>96</v>
      </c>
      <c r="V59" s="11">
        <v>0.05</v>
      </c>
      <c r="W59" s="1">
        <f>+INICIO!$C$34</f>
        <v>2014</v>
      </c>
      <c r="X59" s="1" t="str">
        <f>+INICIO!$B$32</f>
        <v>LATIFOLIADO</v>
      </c>
      <c r="Y59" s="50" t="str">
        <f t="shared" si="0"/>
        <v>DEJAR</v>
      </c>
      <c r="Z59" s="50" t="str">
        <f t="shared" si="1"/>
        <v>DEJAR</v>
      </c>
      <c r="AA59" s="50" t="str">
        <f t="shared" si="2"/>
        <v>DEJAR</v>
      </c>
      <c r="AB59" s="50" t="str">
        <f t="shared" si="3"/>
        <v>DEJAR</v>
      </c>
      <c r="AC59" s="52">
        <f t="shared" si="4"/>
        <v>8.0424771931898703E-2</v>
      </c>
      <c r="AD59" s="52">
        <f t="shared" si="5"/>
        <v>1.608495438637974</v>
      </c>
      <c r="AE59" s="52">
        <f>+IF(X59=INICIO!$B$31,0.15991*D59^2.32764,AND(X59=INICIO!$B$32)*0.13657*D59^2.38351)</f>
        <v>528.31791084648671</v>
      </c>
      <c r="AF59" s="52">
        <f t="shared" si="6"/>
        <v>10566.358216929733</v>
      </c>
      <c r="AG59" s="52">
        <f>+AE59/1000*INICIO!$D$50</f>
        <v>0.24830941809784873</v>
      </c>
      <c r="AH59" s="52">
        <f>+AF59/1000*INICIO!$D$50</f>
        <v>4.9661883619569744</v>
      </c>
      <c r="AI59" s="55">
        <f>+IF(X59=INICIO!$B$31,IF(D59&lt;=82,0.15991*D59^2.32764, 0.15991*82^2.32764),AND(X59=INICIO!$B$32)*IF(D59&lt;=79.9,0.13657*D59^2.38351,0.13657*79.9^2.38351))</f>
        <v>528.31791084648671</v>
      </c>
      <c r="AJ59" s="56">
        <f t="shared" si="7"/>
        <v>10566.358216929733</v>
      </c>
      <c r="AK59" s="56">
        <f>+AI59/1000*INICIO!$D$50</f>
        <v>0.24830941809784873</v>
      </c>
      <c r="AL59" s="56">
        <f>+AJ59/1000*INICIO!$D$50</f>
        <v>4.9661883619569744</v>
      </c>
      <c r="AM59" s="57" t="str">
        <f>+INICIO!$C$30</f>
        <v>UVG_B_Kg</v>
      </c>
    </row>
    <row r="60" spans="1:39" ht="15" x14ac:dyDescent="0.25">
      <c r="A60" s="24">
        <v>7</v>
      </c>
      <c r="B60" s="25">
        <f>'1BASE'!A60</f>
        <v>4</v>
      </c>
      <c r="C60" s="24">
        <f>'1BASE'!B60</f>
        <v>0</v>
      </c>
      <c r="D60" s="26">
        <f>'1BASE'!C60</f>
        <v>47.5</v>
      </c>
      <c r="E60" s="27">
        <f>'1BASE'!D60</f>
        <v>60</v>
      </c>
      <c r="F60" s="27">
        <f>'1BASE'!E60</f>
        <v>145</v>
      </c>
      <c r="G60" s="27">
        <f>(TAN(RADIANS(E60))*20)+(TAN(RADIANS(F60))*20)</f>
        <v>20.636865387183342</v>
      </c>
      <c r="H60" s="26">
        <f>'1BASE'!F60</f>
        <v>9</v>
      </c>
      <c r="I60" s="24">
        <f>'1BASE'!G60</f>
        <v>0</v>
      </c>
      <c r="J60" s="24">
        <f>'1BASE'!H60</f>
        <v>0</v>
      </c>
      <c r="K60" s="24"/>
      <c r="L60" s="24"/>
      <c r="M60" s="24"/>
      <c r="N60" s="24"/>
      <c r="O60" s="24"/>
      <c r="P60" s="24"/>
      <c r="Q60" s="24"/>
      <c r="R60" s="24"/>
      <c r="S60" s="5"/>
      <c r="T60" s="5"/>
      <c r="U60" s="1" t="s">
        <v>96</v>
      </c>
      <c r="V60" s="11">
        <v>0.05</v>
      </c>
      <c r="W60" s="1">
        <f>+INICIO!$C$34</f>
        <v>2014</v>
      </c>
      <c r="X60" s="1" t="str">
        <f>+INICIO!$B$32</f>
        <v>LATIFOLIADO</v>
      </c>
      <c r="Y60" s="50" t="str">
        <f t="shared" si="0"/>
        <v>DEJAR</v>
      </c>
      <c r="Z60" s="50" t="str">
        <f t="shared" si="1"/>
        <v>DEJAR</v>
      </c>
      <c r="AA60" s="50" t="str">
        <f t="shared" si="2"/>
        <v>DEJAR</v>
      </c>
      <c r="AB60" s="50" t="str">
        <f t="shared" si="3"/>
        <v>DEJAR</v>
      </c>
      <c r="AC60" s="52">
        <f t="shared" si="4"/>
        <v>0.17720546061654927</v>
      </c>
      <c r="AD60" s="52">
        <f t="shared" si="5"/>
        <v>3.544109212330985</v>
      </c>
      <c r="AE60" s="52">
        <f>+IF(X60=INICIO!$B$31,0.15991*D60^2.32764,AND(X60=INICIO!$B$32)*0.13657*D60^2.38351)</f>
        <v>1354.4759398853571</v>
      </c>
      <c r="AF60" s="52">
        <f t="shared" si="6"/>
        <v>27089.51879770714</v>
      </c>
      <c r="AG60" s="52">
        <f>+AE60/1000*INICIO!$D$50</f>
        <v>0.63660369174611786</v>
      </c>
      <c r="AH60" s="52">
        <f>+AF60/1000*INICIO!$D$50</f>
        <v>12.732073834922355</v>
      </c>
      <c r="AI60" s="55">
        <f>+IF(X60=INICIO!$B$31,IF(D60&lt;=82,0.15991*D60^2.32764, 0.15991*82^2.32764),AND(X60=INICIO!$B$32)*IF(D60&lt;=79.9,0.13657*D60^2.38351,0.13657*79.9^2.38351))</f>
        <v>1354.4759398853571</v>
      </c>
      <c r="AJ60" s="56">
        <f t="shared" si="7"/>
        <v>27089.51879770714</v>
      </c>
      <c r="AK60" s="56">
        <f>+AI60/1000*INICIO!$D$50</f>
        <v>0.63660369174611786</v>
      </c>
      <c r="AL60" s="56">
        <f>+AJ60/1000*INICIO!$D$50</f>
        <v>12.732073834922355</v>
      </c>
      <c r="AM60" s="57" t="str">
        <f>+INICIO!$C$30</f>
        <v>UVG_B_Kg</v>
      </c>
    </row>
    <row r="61" spans="1:39" ht="15" x14ac:dyDescent="0.25">
      <c r="A61" s="24">
        <v>7</v>
      </c>
      <c r="B61" s="25">
        <f>'1BASE'!A61</f>
        <v>5</v>
      </c>
      <c r="C61" s="24">
        <f>'1BASE'!B61</f>
        <v>0</v>
      </c>
      <c r="D61" s="26">
        <f>'1BASE'!C61</f>
        <v>45.3</v>
      </c>
      <c r="E61" s="27">
        <f>'1BASE'!D61</f>
        <v>0</v>
      </c>
      <c r="F61" s="27">
        <f>'1BASE'!E61</f>
        <v>0</v>
      </c>
      <c r="G61" s="27"/>
      <c r="H61" s="26">
        <f>'1BASE'!F61</f>
        <v>0</v>
      </c>
      <c r="I61" s="24">
        <f>'1BASE'!G61</f>
        <v>0</v>
      </c>
      <c r="J61" s="24">
        <f>'1BASE'!H61</f>
        <v>0</v>
      </c>
      <c r="K61" s="24"/>
      <c r="L61" s="24"/>
      <c r="M61" s="24"/>
      <c r="N61" s="24"/>
      <c r="O61" s="24"/>
      <c r="P61" s="24"/>
      <c r="Q61" s="24"/>
      <c r="R61" s="24"/>
      <c r="S61" s="5"/>
      <c r="T61" s="5"/>
      <c r="U61" s="1" t="s">
        <v>96</v>
      </c>
      <c r="V61" s="11">
        <v>0.05</v>
      </c>
      <c r="W61" s="1">
        <f>+INICIO!$C$34</f>
        <v>2014</v>
      </c>
      <c r="X61" s="1" t="str">
        <f>+INICIO!$B$32</f>
        <v>LATIFOLIADO</v>
      </c>
      <c r="Y61" s="50" t="str">
        <f t="shared" si="0"/>
        <v>DEJAR</v>
      </c>
      <c r="Z61" s="50" t="str">
        <f t="shared" si="1"/>
        <v>DEJAR</v>
      </c>
      <c r="AA61" s="50" t="str">
        <f t="shared" si="2"/>
        <v>DEJAR</v>
      </c>
      <c r="AB61" s="50" t="str">
        <f t="shared" si="3"/>
        <v>DEJAR</v>
      </c>
      <c r="AC61" s="52">
        <f t="shared" si="4"/>
        <v>0.16117077171262695</v>
      </c>
      <c r="AD61" s="52">
        <f t="shared" si="5"/>
        <v>3.223415434252539</v>
      </c>
      <c r="AE61" s="52">
        <f>+IF(X61=INICIO!$B$31,0.15991*D61^2.32764,AND(X61=INICIO!$B$32)*0.13657*D61^2.38351)</f>
        <v>1209.7118499770827</v>
      </c>
      <c r="AF61" s="52">
        <f t="shared" si="6"/>
        <v>24194.236999541652</v>
      </c>
      <c r="AG61" s="52">
        <f>+AE61/1000*INICIO!$D$50</f>
        <v>0.56856456948922884</v>
      </c>
      <c r="AH61" s="52">
        <f>+AF61/1000*INICIO!$D$50</f>
        <v>11.371291389784576</v>
      </c>
      <c r="AI61" s="55">
        <f>+IF(X61=INICIO!$B$31,IF(D61&lt;=82,0.15991*D61^2.32764, 0.15991*82^2.32764),AND(X61=INICIO!$B$32)*IF(D61&lt;=79.9,0.13657*D61^2.38351,0.13657*79.9^2.38351))</f>
        <v>1209.7118499770827</v>
      </c>
      <c r="AJ61" s="56">
        <f t="shared" si="7"/>
        <v>24194.236999541652</v>
      </c>
      <c r="AK61" s="56">
        <f>+AI61/1000*INICIO!$D$50</f>
        <v>0.56856456948922884</v>
      </c>
      <c r="AL61" s="56">
        <f>+AJ61/1000*INICIO!$D$50</f>
        <v>11.371291389784576</v>
      </c>
      <c r="AM61" s="57" t="str">
        <f>+INICIO!$C$30</f>
        <v>UVG_B_Kg</v>
      </c>
    </row>
    <row r="62" spans="1:39" ht="15" x14ac:dyDescent="0.25">
      <c r="A62" s="24">
        <v>7</v>
      </c>
      <c r="B62" s="25">
        <f>'1BASE'!A62</f>
        <v>6</v>
      </c>
      <c r="C62" s="24">
        <f>'1BASE'!B62</f>
        <v>0</v>
      </c>
      <c r="D62" s="26">
        <f>'1BASE'!C62</f>
        <v>26</v>
      </c>
      <c r="E62" s="27">
        <f>'1BASE'!D62</f>
        <v>0</v>
      </c>
      <c r="F62" s="27">
        <f>'1BASE'!E62</f>
        <v>0</v>
      </c>
      <c r="G62" s="27"/>
      <c r="H62" s="26">
        <f>'1BASE'!F62</f>
        <v>0</v>
      </c>
      <c r="I62" s="24">
        <f>'1BASE'!G62</f>
        <v>0</v>
      </c>
      <c r="J62" s="24">
        <f>'1BASE'!H62</f>
        <v>0</v>
      </c>
      <c r="K62" s="24"/>
      <c r="L62" s="24"/>
      <c r="M62" s="24"/>
      <c r="N62" s="24"/>
      <c r="O62" s="24"/>
      <c r="P62" s="24"/>
      <c r="Q62" s="24"/>
      <c r="R62" s="24"/>
      <c r="S62" s="5"/>
      <c r="T62" s="5"/>
      <c r="U62" s="1" t="s">
        <v>96</v>
      </c>
      <c r="V62" s="11">
        <v>0.05</v>
      </c>
      <c r="W62" s="1">
        <f>+INICIO!$C$34</f>
        <v>2014</v>
      </c>
      <c r="X62" s="1" t="str">
        <f>+INICIO!$B$32</f>
        <v>LATIFOLIADO</v>
      </c>
      <c r="Y62" s="50" t="str">
        <f t="shared" si="0"/>
        <v>DEJAR</v>
      </c>
      <c r="Z62" s="50" t="str">
        <f t="shared" si="1"/>
        <v>DEJAR</v>
      </c>
      <c r="AA62" s="50" t="str">
        <f t="shared" si="2"/>
        <v>DEJAR</v>
      </c>
      <c r="AB62" s="50" t="str">
        <f t="shared" si="3"/>
        <v>DEJAR</v>
      </c>
      <c r="AC62" s="52">
        <f t="shared" si="4"/>
        <v>5.3092915845667513E-2</v>
      </c>
      <c r="AD62" s="52">
        <f t="shared" si="5"/>
        <v>1.0618583169133502</v>
      </c>
      <c r="AE62" s="52">
        <f>+IF(X62=INICIO!$B$31,0.15991*D62^2.32764,AND(X62=INICIO!$B$32)*0.13657*D62^2.38351)</f>
        <v>322.0760520178971</v>
      </c>
      <c r="AF62" s="52">
        <f t="shared" si="6"/>
        <v>6441.5210403579413</v>
      </c>
      <c r="AG62" s="52">
        <f>+AE62/1000*INICIO!$D$50</f>
        <v>0.15137574444841162</v>
      </c>
      <c r="AH62" s="52">
        <f>+AF62/1000*INICIO!$D$50</f>
        <v>3.0275148889682324</v>
      </c>
      <c r="AI62" s="55">
        <f>+IF(X62=INICIO!$B$31,IF(D62&lt;=82,0.15991*D62^2.32764, 0.15991*82^2.32764),AND(X62=INICIO!$B$32)*IF(D62&lt;=79.9,0.13657*D62^2.38351,0.13657*79.9^2.38351))</f>
        <v>322.0760520178971</v>
      </c>
      <c r="AJ62" s="56">
        <f t="shared" si="7"/>
        <v>6441.5210403579413</v>
      </c>
      <c r="AK62" s="56">
        <f>+AI62/1000*INICIO!$D$50</f>
        <v>0.15137574444841162</v>
      </c>
      <c r="AL62" s="56">
        <f>+AJ62/1000*INICIO!$D$50</f>
        <v>3.0275148889682324</v>
      </c>
      <c r="AM62" s="57" t="str">
        <f>+INICIO!$C$30</f>
        <v>UVG_B_Kg</v>
      </c>
    </row>
    <row r="63" spans="1:39" ht="15" x14ac:dyDescent="0.25">
      <c r="A63" s="24">
        <v>7</v>
      </c>
      <c r="B63" s="25">
        <f>'1BASE'!A63</f>
        <v>7</v>
      </c>
      <c r="C63" s="24">
        <f>'1BASE'!B63</f>
        <v>0</v>
      </c>
      <c r="D63" s="26">
        <f>'1BASE'!C63</f>
        <v>67</v>
      </c>
      <c r="E63" s="27">
        <f>'1BASE'!D63</f>
        <v>70</v>
      </c>
      <c r="F63" s="27">
        <f>'1BASE'!E63</f>
        <v>120</v>
      </c>
      <c r="G63" s="27">
        <f>(TAN(RADIANS(E63))*20)+(TAN(RADIANS(F63))*20)</f>
        <v>20.308532237714871</v>
      </c>
      <c r="H63" s="26">
        <f>'1BASE'!F63</f>
        <v>0</v>
      </c>
      <c r="I63" s="24">
        <f>'1BASE'!G63</f>
        <v>0</v>
      </c>
      <c r="J63" s="24">
        <f>'1BASE'!H63</f>
        <v>0</v>
      </c>
      <c r="K63" s="24"/>
      <c r="L63" s="24"/>
      <c r="M63" s="24"/>
      <c r="N63" s="24"/>
      <c r="O63" s="24"/>
      <c r="P63" s="24"/>
      <c r="Q63" s="24"/>
      <c r="R63" s="24"/>
      <c r="S63" s="5"/>
      <c r="T63" s="5"/>
      <c r="U63" s="1" t="s">
        <v>96</v>
      </c>
      <c r="V63" s="11">
        <v>0.05</v>
      </c>
      <c r="W63" s="1">
        <f>+INICIO!$C$34</f>
        <v>2014</v>
      </c>
      <c r="X63" s="1" t="str">
        <f>+INICIO!$B$32</f>
        <v>LATIFOLIADO</v>
      </c>
      <c r="Y63" s="50" t="str">
        <f t="shared" si="0"/>
        <v>DEJAR</v>
      </c>
      <c r="Z63" s="50" t="str">
        <f t="shared" si="1"/>
        <v>DEJAR</v>
      </c>
      <c r="AA63" s="50" t="str">
        <f t="shared" si="2"/>
        <v>DEJAR</v>
      </c>
      <c r="AB63" s="50" t="str">
        <f t="shared" si="3"/>
        <v>DEJAR</v>
      </c>
      <c r="AC63" s="52">
        <f t="shared" si="4"/>
        <v>0.35256523554911462</v>
      </c>
      <c r="AD63" s="52">
        <f t="shared" si="5"/>
        <v>7.0513047109822917</v>
      </c>
      <c r="AE63" s="52">
        <f>+IF(X63=INICIO!$B$31,0.15991*D63^2.32764,AND(X63=INICIO!$B$32)*0.13657*D63^2.38351)</f>
        <v>3074.842409403137</v>
      </c>
      <c r="AF63" s="52">
        <f t="shared" si="6"/>
        <v>61496.848188062737</v>
      </c>
      <c r="AG63" s="52">
        <f>+AE63/1000*INICIO!$D$50</f>
        <v>1.4451759324194744</v>
      </c>
      <c r="AH63" s="52">
        <f>+AF63/1000*INICIO!$D$50</f>
        <v>28.903518648389483</v>
      </c>
      <c r="AI63" s="55">
        <f>+IF(X63=INICIO!$B$31,IF(D63&lt;=82,0.15991*D63^2.32764, 0.15991*82^2.32764),AND(X63=INICIO!$B$32)*IF(D63&lt;=79.9,0.13657*D63^2.38351,0.13657*79.9^2.38351))</f>
        <v>3074.842409403137</v>
      </c>
      <c r="AJ63" s="56">
        <f t="shared" si="7"/>
        <v>61496.848188062737</v>
      </c>
      <c r="AK63" s="56">
        <f>+AI63/1000*INICIO!$D$50</f>
        <v>1.4451759324194744</v>
      </c>
      <c r="AL63" s="56">
        <f>+AJ63/1000*INICIO!$D$50</f>
        <v>28.903518648389483</v>
      </c>
      <c r="AM63" s="57" t="str">
        <f>+INICIO!$C$30</f>
        <v>UVG_B_Kg</v>
      </c>
    </row>
    <row r="64" spans="1:39" ht="15" x14ac:dyDescent="0.25">
      <c r="A64" s="24">
        <v>7</v>
      </c>
      <c r="B64" s="25">
        <f>'1BASE'!A64</f>
        <v>8</v>
      </c>
      <c r="C64" s="24" t="str">
        <f>'1BASE'!B64</f>
        <v>Chichicaste</v>
      </c>
      <c r="D64" s="26">
        <f>'1BASE'!C64</f>
        <v>65</v>
      </c>
      <c r="E64" s="27">
        <f>'1BASE'!D64</f>
        <v>0</v>
      </c>
      <c r="F64" s="27">
        <f>'1BASE'!E64</f>
        <v>0</v>
      </c>
      <c r="G64" s="27"/>
      <c r="H64" s="26">
        <f>'1BASE'!F64</f>
        <v>0</v>
      </c>
      <c r="I64" s="24">
        <f>'1BASE'!G64</f>
        <v>0</v>
      </c>
      <c r="J64" s="24">
        <f>'1BASE'!H64</f>
        <v>0</v>
      </c>
      <c r="K64" s="24"/>
      <c r="L64" s="24"/>
      <c r="M64" s="24"/>
      <c r="N64" s="24"/>
      <c r="O64" s="24"/>
      <c r="P64" s="24"/>
      <c r="Q64" s="24"/>
      <c r="R64" s="24"/>
      <c r="S64" s="5"/>
      <c r="T64" s="5"/>
      <c r="U64" s="1" t="s">
        <v>96</v>
      </c>
      <c r="V64" s="11">
        <v>0.05</v>
      </c>
      <c r="W64" s="1">
        <f>+INICIO!$C$34</f>
        <v>2014</v>
      </c>
      <c r="X64" s="1" t="str">
        <f>+INICIO!$B$32</f>
        <v>LATIFOLIADO</v>
      </c>
      <c r="Y64" s="50" t="str">
        <f t="shared" si="0"/>
        <v>DEJAR</v>
      </c>
      <c r="Z64" s="50" t="str">
        <f t="shared" si="1"/>
        <v>DEJAR</v>
      </c>
      <c r="AA64" s="50" t="str">
        <f t="shared" si="2"/>
        <v>DEJAR</v>
      </c>
      <c r="AB64" s="50" t="str">
        <f t="shared" si="3"/>
        <v>DEJAR</v>
      </c>
      <c r="AC64" s="52">
        <f t="shared" si="4"/>
        <v>0.33183072403542191</v>
      </c>
      <c r="AD64" s="52">
        <f t="shared" si="5"/>
        <v>6.6366144807084382</v>
      </c>
      <c r="AE64" s="52">
        <f>+IF(X64=INICIO!$B$31,0.15991*D64^2.32764,AND(X64=INICIO!$B$32)*0.13657*D64^2.38351)</f>
        <v>2860.5689751200016</v>
      </c>
      <c r="AF64" s="52">
        <f t="shared" si="6"/>
        <v>57211.379502400028</v>
      </c>
      <c r="AG64" s="52">
        <f>+AE64/1000*INICIO!$D$50</f>
        <v>1.3444674183064005</v>
      </c>
      <c r="AH64" s="52">
        <f>+AF64/1000*INICIO!$D$50</f>
        <v>26.889348366128011</v>
      </c>
      <c r="AI64" s="55">
        <f>+IF(X64=INICIO!$B$31,IF(D64&lt;=82,0.15991*D64^2.32764, 0.15991*82^2.32764),AND(X64=INICIO!$B$32)*IF(D64&lt;=79.9,0.13657*D64^2.38351,0.13657*79.9^2.38351))</f>
        <v>2860.5689751200016</v>
      </c>
      <c r="AJ64" s="56">
        <f t="shared" si="7"/>
        <v>57211.379502400028</v>
      </c>
      <c r="AK64" s="56">
        <f>+AI64/1000*INICIO!$D$50</f>
        <v>1.3444674183064005</v>
      </c>
      <c r="AL64" s="56">
        <f>+AJ64/1000*INICIO!$D$50</f>
        <v>26.889348366128011</v>
      </c>
      <c r="AM64" s="57" t="str">
        <f>+INICIO!$C$30</f>
        <v>UVG_B_Kg</v>
      </c>
    </row>
    <row r="65" spans="1:39" ht="15" x14ac:dyDescent="0.25">
      <c r="A65" s="24">
        <v>7</v>
      </c>
      <c r="B65" s="25">
        <f>'1BASE'!A65</f>
        <v>9</v>
      </c>
      <c r="C65" s="24" t="str">
        <f>'1BASE'!B65</f>
        <v>Chichicaste</v>
      </c>
      <c r="D65" s="26">
        <f>'1BASE'!C65</f>
        <v>84</v>
      </c>
      <c r="E65" s="27">
        <f>'1BASE'!D65</f>
        <v>0</v>
      </c>
      <c r="F65" s="27">
        <f>'1BASE'!E65</f>
        <v>0</v>
      </c>
      <c r="G65" s="27"/>
      <c r="H65" s="26">
        <f>'1BASE'!F65</f>
        <v>12</v>
      </c>
      <c r="I65" s="24">
        <f>'1BASE'!G65</f>
        <v>0</v>
      </c>
      <c r="J65" s="24">
        <f>'1BASE'!H65</f>
        <v>0</v>
      </c>
      <c r="K65" s="24"/>
      <c r="L65" s="24"/>
      <c r="M65" s="24"/>
      <c r="N65" s="24"/>
      <c r="O65" s="24"/>
      <c r="P65" s="24"/>
      <c r="Q65" s="24"/>
      <c r="R65" s="24"/>
      <c r="S65" s="5"/>
      <c r="T65" s="5"/>
      <c r="U65" s="1" t="s">
        <v>96</v>
      </c>
      <c r="V65" s="11">
        <v>0.05</v>
      </c>
      <c r="W65" s="1">
        <f>+INICIO!$C$34</f>
        <v>2014</v>
      </c>
      <c r="X65" s="1" t="str">
        <f>+INICIO!$B$32</f>
        <v>LATIFOLIADO</v>
      </c>
      <c r="Y65" s="50" t="str">
        <f t="shared" si="0"/>
        <v>DEJAR</v>
      </c>
      <c r="Z65" s="50" t="str">
        <f t="shared" si="1"/>
        <v>DEJAR</v>
      </c>
      <c r="AA65" s="50" t="str">
        <f t="shared" si="2"/>
        <v>DEJAR</v>
      </c>
      <c r="AB65" s="50" t="str">
        <f t="shared" si="3"/>
        <v>DEJAR</v>
      </c>
      <c r="AC65" s="52">
        <f t="shared" si="4"/>
        <v>0.55417694409323948</v>
      </c>
      <c r="AD65" s="52">
        <f t="shared" si="5"/>
        <v>11.083538881864788</v>
      </c>
      <c r="AE65" s="52">
        <f>+IF(X65=INICIO!$B$31,0.15991*D65^2.32764,AND(X65=INICIO!$B$32)*0.13657*D65^2.38351)</f>
        <v>5271.0147380740245</v>
      </c>
      <c r="AF65" s="52">
        <f t="shared" si="6"/>
        <v>105420.29476148049</v>
      </c>
      <c r="AG65" s="52">
        <f>+AE65/1000*INICIO!$D$50</f>
        <v>2.4773769268947912</v>
      </c>
      <c r="AH65" s="52">
        <f>+AF65/1000*INICIO!$D$50</f>
        <v>49.547538537895825</v>
      </c>
      <c r="AI65" s="55">
        <f>+IF(X65=INICIO!$B$31,IF(D65&lt;=82,0.15991*D65^2.32764, 0.15991*82^2.32764),AND(X65=INICIO!$B$32)*IF(D65&lt;=79.9,0.13657*D65^2.38351,0.13657*79.9^2.38351))</f>
        <v>4678.370186681871</v>
      </c>
      <c r="AJ65" s="56">
        <f t="shared" si="7"/>
        <v>93567.403733637417</v>
      </c>
      <c r="AK65" s="56">
        <f>+AI65/1000*INICIO!$D$50</f>
        <v>2.1988339877404792</v>
      </c>
      <c r="AL65" s="56">
        <f>+AJ65/1000*INICIO!$D$50</f>
        <v>43.976679754809588</v>
      </c>
      <c r="AM65" s="57" t="str">
        <f>+INICIO!$C$30</f>
        <v>UVG_B_Kg</v>
      </c>
    </row>
    <row r="66" spans="1:39" ht="15" x14ac:dyDescent="0.25">
      <c r="A66" s="24">
        <v>7</v>
      </c>
      <c r="B66" s="25">
        <f>'1BASE'!A66</f>
        <v>10</v>
      </c>
      <c r="C66" s="24">
        <f>'1BASE'!B66</f>
        <v>0</v>
      </c>
      <c r="D66" s="26">
        <f>'1BASE'!C66</f>
        <v>18</v>
      </c>
      <c r="E66" s="27">
        <f>'1BASE'!D66</f>
        <v>0</v>
      </c>
      <c r="F66" s="27">
        <f>'1BASE'!E66</f>
        <v>0</v>
      </c>
      <c r="G66" s="27"/>
      <c r="H66" s="26">
        <f>'1BASE'!F66</f>
        <v>0</v>
      </c>
      <c r="I66" s="24">
        <f>'1BASE'!G66</f>
        <v>0</v>
      </c>
      <c r="J66" s="24">
        <f>'1BASE'!H66</f>
        <v>0</v>
      </c>
      <c r="K66" s="24"/>
      <c r="L66" s="24"/>
      <c r="M66" s="24"/>
      <c r="N66" s="24"/>
      <c r="O66" s="24"/>
      <c r="P66" s="24"/>
      <c r="Q66" s="24"/>
      <c r="R66" s="24"/>
      <c r="S66" s="5"/>
      <c r="T66" s="5"/>
      <c r="U66" s="1" t="s">
        <v>96</v>
      </c>
      <c r="V66" s="11">
        <v>0.05</v>
      </c>
      <c r="W66" s="1">
        <f>+INICIO!$C$34</f>
        <v>2014</v>
      </c>
      <c r="X66" s="1" t="str">
        <f>+INICIO!$B$32</f>
        <v>LATIFOLIADO</v>
      </c>
      <c r="Y66" s="50" t="str">
        <f t="shared" si="0"/>
        <v>DEJAR</v>
      </c>
      <c r="Z66" s="50" t="str">
        <f t="shared" si="1"/>
        <v>DEJAR</v>
      </c>
      <c r="AA66" s="50" t="str">
        <f t="shared" si="2"/>
        <v>DEJAR</v>
      </c>
      <c r="AB66" s="50" t="str">
        <f t="shared" si="3"/>
        <v>DEJAR</v>
      </c>
      <c r="AC66" s="52">
        <f t="shared" si="4"/>
        <v>2.5446900494077322E-2</v>
      </c>
      <c r="AD66" s="52">
        <f t="shared" si="5"/>
        <v>0.50893800988154636</v>
      </c>
      <c r="AE66" s="52">
        <f>+IF(X66=INICIO!$B$31,0.15991*D66^2.32764,AND(X66=INICIO!$B$32)*0.13657*D66^2.38351)</f>
        <v>134.06329154071116</v>
      </c>
      <c r="AF66" s="52">
        <f t="shared" si="6"/>
        <v>2681.2658308142231</v>
      </c>
      <c r="AG66" s="52">
        <f>+AE66/1000*INICIO!$D$50</f>
        <v>6.3009747024134241E-2</v>
      </c>
      <c r="AH66" s="52">
        <f>+AF66/1000*INICIO!$D$50</f>
        <v>1.2601949404826847</v>
      </c>
      <c r="AI66" s="55">
        <f>+IF(X66=INICIO!$B$31,IF(D66&lt;=82,0.15991*D66^2.32764, 0.15991*82^2.32764),AND(X66=INICIO!$B$32)*IF(D66&lt;=79.9,0.13657*D66^2.38351,0.13657*79.9^2.38351))</f>
        <v>134.06329154071116</v>
      </c>
      <c r="AJ66" s="56">
        <f t="shared" si="7"/>
        <v>2681.2658308142231</v>
      </c>
      <c r="AK66" s="56">
        <f>+AI66/1000*INICIO!$D$50</f>
        <v>6.3009747024134241E-2</v>
      </c>
      <c r="AL66" s="56">
        <f>+AJ66/1000*INICIO!$D$50</f>
        <v>1.2601949404826847</v>
      </c>
      <c r="AM66" s="57" t="str">
        <f>+INICIO!$C$30</f>
        <v>UVG_B_Kg</v>
      </c>
    </row>
    <row r="67" spans="1:39" ht="15" x14ac:dyDescent="0.25">
      <c r="A67" s="24">
        <v>7</v>
      </c>
      <c r="B67" s="25">
        <f>'1BASE'!A67</f>
        <v>11</v>
      </c>
      <c r="C67" s="24">
        <f>'1BASE'!B67</f>
        <v>0</v>
      </c>
      <c r="D67" s="26">
        <f>'1BASE'!C67</f>
        <v>42</v>
      </c>
      <c r="E67" s="27">
        <f>'1BASE'!D67</f>
        <v>0</v>
      </c>
      <c r="F67" s="27">
        <f>'1BASE'!E67</f>
        <v>0</v>
      </c>
      <c r="G67" s="27"/>
      <c r="H67" s="26">
        <f>'1BASE'!F67</f>
        <v>0</v>
      </c>
      <c r="I67" s="24">
        <f>'1BASE'!G67</f>
        <v>0</v>
      </c>
      <c r="J67" s="24">
        <f>'1BASE'!H67</f>
        <v>0</v>
      </c>
      <c r="K67" s="24"/>
      <c r="L67" s="24"/>
      <c r="M67" s="24"/>
      <c r="N67" s="24"/>
      <c r="O67" s="24"/>
      <c r="P67" s="24"/>
      <c r="Q67" s="24"/>
      <c r="R67" s="24"/>
      <c r="S67" s="5"/>
      <c r="T67" s="5"/>
      <c r="U67" s="1" t="s">
        <v>96</v>
      </c>
      <c r="V67" s="11">
        <v>0.05</v>
      </c>
      <c r="W67" s="1">
        <f>+INICIO!$C$34</f>
        <v>2014</v>
      </c>
      <c r="X67" s="1" t="str">
        <f>+INICIO!$B$32</f>
        <v>LATIFOLIADO</v>
      </c>
      <c r="Y67" s="50" t="str">
        <f t="shared" ref="Y67:Y130" si="8">+IF(D67&gt;=10,"DEJAR","DEPURAR")</f>
        <v>DEJAR</v>
      </c>
      <c r="Z67" s="50" t="str">
        <f t="shared" ref="Z67:Z130" si="9">+IF(OR(G67&gt;=5,G67=0,G67&lt;=0),"DEJAR","DEPURAR")</f>
        <v>DEJAR</v>
      </c>
      <c r="AA67" s="50" t="str">
        <f t="shared" ref="AA67:AA130" si="10">+IF(AND(Y67="DEJAR"),"DEJAR","DEPURAR")</f>
        <v>DEJAR</v>
      </c>
      <c r="AB67" s="50" t="str">
        <f t="shared" ref="AB67:AB130" si="11">+IF(AND(Y67="DEJAR"),"DEJAR","DEPURAR")</f>
        <v>DEJAR</v>
      </c>
      <c r="AC67" s="52">
        <f t="shared" ref="AC67:AC130" si="12">+PI()/4*(POWER((D67/100),2))</f>
        <v>0.13854423602330987</v>
      </c>
      <c r="AD67" s="52">
        <f t="shared" ref="AD67:AD130" si="13">+AC67/V67</f>
        <v>2.770884720466197</v>
      </c>
      <c r="AE67" s="52">
        <f>+IF(X67=INICIO!$B$31,0.15991*D67^2.32764,AND(X67=INICIO!$B$32)*0.13657*D67^2.38351)</f>
        <v>1010.1508312762483</v>
      </c>
      <c r="AF67" s="52">
        <f t="shared" ref="AF67:AF130" si="14">+AE67*1/V67</f>
        <v>20203.016625524964</v>
      </c>
      <c r="AG67" s="52">
        <f>+AE67/1000*INICIO!$D$50</f>
        <v>0.47477089069983663</v>
      </c>
      <c r="AH67" s="52">
        <f>+AF67/1000*INICIO!$D$50</f>
        <v>9.4954178139967329</v>
      </c>
      <c r="AI67" s="55">
        <f>+IF(X67=INICIO!$B$31,IF(D67&lt;=82,0.15991*D67^2.32764, 0.15991*82^2.32764),AND(X67=INICIO!$B$32)*IF(D67&lt;=79.9,0.13657*D67^2.38351,0.13657*79.9^2.38351))</f>
        <v>1010.1508312762483</v>
      </c>
      <c r="AJ67" s="56">
        <f t="shared" ref="AJ67:AJ130" si="15">+AI67*1/V67</f>
        <v>20203.016625524964</v>
      </c>
      <c r="AK67" s="56">
        <f>+AI67/1000*INICIO!$D$50</f>
        <v>0.47477089069983663</v>
      </c>
      <c r="AL67" s="56">
        <f>+AJ67/1000*INICIO!$D$50</f>
        <v>9.4954178139967329</v>
      </c>
      <c r="AM67" s="57" t="str">
        <f>+INICIO!$C$30</f>
        <v>UVG_B_Kg</v>
      </c>
    </row>
    <row r="68" spans="1:39" ht="15" x14ac:dyDescent="0.25">
      <c r="A68" s="24">
        <v>7</v>
      </c>
      <c r="B68" s="25">
        <f>'1BASE'!A68</f>
        <v>12</v>
      </c>
      <c r="C68" s="24">
        <f>'1BASE'!B68</f>
        <v>0</v>
      </c>
      <c r="D68" s="26">
        <f>'1BASE'!C68</f>
        <v>16</v>
      </c>
      <c r="E68" s="27">
        <f>'1BASE'!D68</f>
        <v>0</v>
      </c>
      <c r="F68" s="27">
        <f>'1BASE'!E68</f>
        <v>0</v>
      </c>
      <c r="G68" s="27"/>
      <c r="H68" s="26">
        <f>'1BASE'!F68</f>
        <v>0</v>
      </c>
      <c r="I68" s="24">
        <f>'1BASE'!G68</f>
        <v>0</v>
      </c>
      <c r="J68" s="24">
        <f>'1BASE'!H68</f>
        <v>0</v>
      </c>
      <c r="K68" s="24"/>
      <c r="L68" s="24"/>
      <c r="M68" s="24"/>
      <c r="N68" s="24"/>
      <c r="O68" s="24"/>
      <c r="P68" s="24"/>
      <c r="Q68" s="24"/>
      <c r="R68" s="24"/>
      <c r="S68" s="5"/>
      <c r="T68" s="5"/>
      <c r="U68" s="1" t="s">
        <v>96</v>
      </c>
      <c r="V68" s="11">
        <v>0.05</v>
      </c>
      <c r="W68" s="1">
        <f>+INICIO!$C$34</f>
        <v>2014</v>
      </c>
      <c r="X68" s="1" t="str">
        <f>+INICIO!$B$32</f>
        <v>LATIFOLIADO</v>
      </c>
      <c r="Y68" s="50" t="str">
        <f t="shared" si="8"/>
        <v>DEJAR</v>
      </c>
      <c r="Z68" s="50" t="str">
        <f t="shared" si="9"/>
        <v>DEJAR</v>
      </c>
      <c r="AA68" s="50" t="str">
        <f t="shared" si="10"/>
        <v>DEJAR</v>
      </c>
      <c r="AB68" s="50" t="str">
        <f t="shared" si="11"/>
        <v>DEJAR</v>
      </c>
      <c r="AC68" s="52">
        <f t="shared" si="12"/>
        <v>2.0106192982974676E-2</v>
      </c>
      <c r="AD68" s="52">
        <f t="shared" si="13"/>
        <v>0.40212385965949349</v>
      </c>
      <c r="AE68" s="52">
        <f>+IF(X68=INICIO!$B$31,0.15991*D68^2.32764,AND(X68=INICIO!$B$32)*0.13657*D68^2.38351)</f>
        <v>101.24820425273758</v>
      </c>
      <c r="AF68" s="52">
        <f t="shared" si="14"/>
        <v>2024.9640850547514</v>
      </c>
      <c r="AG68" s="52">
        <f>+AE68/1000*INICIO!$D$50</f>
        <v>4.7586655998786656E-2</v>
      </c>
      <c r="AH68" s="52">
        <f>+AF68/1000*INICIO!$D$50</f>
        <v>0.95173311997573318</v>
      </c>
      <c r="AI68" s="55">
        <f>+IF(X68=INICIO!$B$31,IF(D68&lt;=82,0.15991*D68^2.32764, 0.15991*82^2.32764),AND(X68=INICIO!$B$32)*IF(D68&lt;=79.9,0.13657*D68^2.38351,0.13657*79.9^2.38351))</f>
        <v>101.24820425273758</v>
      </c>
      <c r="AJ68" s="56">
        <f t="shared" si="15"/>
        <v>2024.9640850547514</v>
      </c>
      <c r="AK68" s="56">
        <f>+AI68/1000*INICIO!$D$50</f>
        <v>4.7586655998786656E-2</v>
      </c>
      <c r="AL68" s="56">
        <f>+AJ68/1000*INICIO!$D$50</f>
        <v>0.95173311997573318</v>
      </c>
      <c r="AM68" s="57" t="str">
        <f>+INICIO!$C$30</f>
        <v>UVG_B_Kg</v>
      </c>
    </row>
    <row r="69" spans="1:39" ht="15" x14ac:dyDescent="0.25">
      <c r="A69" s="24">
        <v>7</v>
      </c>
      <c r="B69" s="25">
        <f>'1BASE'!A69</f>
        <v>13</v>
      </c>
      <c r="C69" s="24">
        <f>'1BASE'!B69</f>
        <v>0</v>
      </c>
      <c r="D69" s="26">
        <f>'1BASE'!C69</f>
        <v>13</v>
      </c>
      <c r="E69" s="27">
        <f>'1BASE'!D69</f>
        <v>0</v>
      </c>
      <c r="F69" s="27">
        <f>'1BASE'!E69</f>
        <v>0</v>
      </c>
      <c r="G69" s="27"/>
      <c r="H69" s="26">
        <f>'1BASE'!F69</f>
        <v>0</v>
      </c>
      <c r="I69" s="24">
        <f>'1BASE'!G69</f>
        <v>0</v>
      </c>
      <c r="J69" s="24">
        <f>'1BASE'!H69</f>
        <v>0</v>
      </c>
      <c r="K69" s="24"/>
      <c r="L69" s="24"/>
      <c r="M69" s="24"/>
      <c r="N69" s="24"/>
      <c r="O69" s="24"/>
      <c r="P69" s="24"/>
      <c r="Q69" s="24"/>
      <c r="R69" s="24"/>
      <c r="S69" s="5"/>
      <c r="T69" s="5"/>
      <c r="U69" s="1" t="s">
        <v>96</v>
      </c>
      <c r="V69" s="11">
        <v>0.05</v>
      </c>
      <c r="W69" s="1">
        <f>+INICIO!$C$34</f>
        <v>2014</v>
      </c>
      <c r="X69" s="1" t="str">
        <f>+INICIO!$B$32</f>
        <v>LATIFOLIADO</v>
      </c>
      <c r="Y69" s="50" t="str">
        <f t="shared" si="8"/>
        <v>DEJAR</v>
      </c>
      <c r="Z69" s="50" t="str">
        <f t="shared" si="9"/>
        <v>DEJAR</v>
      </c>
      <c r="AA69" s="50" t="str">
        <f t="shared" si="10"/>
        <v>DEJAR</v>
      </c>
      <c r="AB69" s="50" t="str">
        <f t="shared" si="11"/>
        <v>DEJAR</v>
      </c>
      <c r="AC69" s="52">
        <f t="shared" si="12"/>
        <v>1.3273228961416878E-2</v>
      </c>
      <c r="AD69" s="52">
        <f t="shared" si="13"/>
        <v>0.26546457922833755</v>
      </c>
      <c r="AE69" s="52">
        <f>+IF(X69=INICIO!$B$31,0.15991*D69^2.32764,AND(X69=INICIO!$B$32)*0.13657*D69^2.38351)</f>
        <v>61.723483588461484</v>
      </c>
      <c r="AF69" s="52">
        <f t="shared" si="14"/>
        <v>1234.4696717692295</v>
      </c>
      <c r="AG69" s="52">
        <f>+AE69/1000*INICIO!$D$50</f>
        <v>2.9010037286576897E-2</v>
      </c>
      <c r="AH69" s="52">
        <f>+AF69/1000*INICIO!$D$50</f>
        <v>0.5802007457315379</v>
      </c>
      <c r="AI69" s="55">
        <f>+IF(X69=INICIO!$B$31,IF(D69&lt;=82,0.15991*D69^2.32764, 0.15991*82^2.32764),AND(X69=INICIO!$B$32)*IF(D69&lt;=79.9,0.13657*D69^2.38351,0.13657*79.9^2.38351))</f>
        <v>61.723483588461484</v>
      </c>
      <c r="AJ69" s="56">
        <f t="shared" si="15"/>
        <v>1234.4696717692295</v>
      </c>
      <c r="AK69" s="56">
        <f>+AI69/1000*INICIO!$D$50</f>
        <v>2.9010037286576897E-2</v>
      </c>
      <c r="AL69" s="56">
        <f>+AJ69/1000*INICIO!$D$50</f>
        <v>0.5802007457315379</v>
      </c>
      <c r="AM69" s="57" t="str">
        <f>+INICIO!$C$30</f>
        <v>UVG_B_Kg</v>
      </c>
    </row>
    <row r="70" spans="1:39" ht="15" x14ac:dyDescent="0.25">
      <c r="A70" s="24">
        <v>7</v>
      </c>
      <c r="B70" s="25">
        <f>'1BASE'!A70</f>
        <v>14</v>
      </c>
      <c r="C70" s="24">
        <f>'1BASE'!B70</f>
        <v>0</v>
      </c>
      <c r="D70" s="26">
        <f>'1BASE'!C70</f>
        <v>18</v>
      </c>
      <c r="E70" s="27">
        <f>'1BASE'!D70</f>
        <v>0</v>
      </c>
      <c r="F70" s="27">
        <f>'1BASE'!E70</f>
        <v>0</v>
      </c>
      <c r="G70" s="24"/>
      <c r="H70" s="26">
        <f>'1BASE'!F70</f>
        <v>0</v>
      </c>
      <c r="I70" s="24">
        <f>'1BASE'!G70</f>
        <v>0</v>
      </c>
      <c r="J70" s="24">
        <f>'1BASE'!H70</f>
        <v>0</v>
      </c>
      <c r="K70" s="24"/>
      <c r="L70" s="24"/>
      <c r="M70" s="24"/>
      <c r="N70" s="24"/>
      <c r="O70" s="24"/>
      <c r="P70" s="24"/>
      <c r="Q70" s="24"/>
      <c r="R70" s="24"/>
      <c r="S70" s="5"/>
      <c r="T70" s="5"/>
      <c r="U70" s="1" t="s">
        <v>96</v>
      </c>
      <c r="V70" s="11">
        <v>0.05</v>
      </c>
      <c r="W70" s="1">
        <f>+INICIO!$C$34</f>
        <v>2014</v>
      </c>
      <c r="X70" s="1" t="str">
        <f>+INICIO!$B$32</f>
        <v>LATIFOLIADO</v>
      </c>
      <c r="Y70" s="50" t="str">
        <f t="shared" si="8"/>
        <v>DEJAR</v>
      </c>
      <c r="Z70" s="50" t="str">
        <f t="shared" si="9"/>
        <v>DEJAR</v>
      </c>
      <c r="AA70" s="50" t="str">
        <f t="shared" si="10"/>
        <v>DEJAR</v>
      </c>
      <c r="AB70" s="50" t="str">
        <f t="shared" si="11"/>
        <v>DEJAR</v>
      </c>
      <c r="AC70" s="52">
        <f t="shared" si="12"/>
        <v>2.5446900494077322E-2</v>
      </c>
      <c r="AD70" s="52">
        <f t="shared" si="13"/>
        <v>0.50893800988154636</v>
      </c>
      <c r="AE70" s="52">
        <f>+IF(X70=INICIO!$B$31,0.15991*D70^2.32764,AND(X70=INICIO!$B$32)*0.13657*D70^2.38351)</f>
        <v>134.06329154071116</v>
      </c>
      <c r="AF70" s="52">
        <f t="shared" si="14"/>
        <v>2681.2658308142231</v>
      </c>
      <c r="AG70" s="52">
        <f>+AE70/1000*INICIO!$D$50</f>
        <v>6.3009747024134241E-2</v>
      </c>
      <c r="AH70" s="52">
        <f>+AF70/1000*INICIO!$D$50</f>
        <v>1.2601949404826847</v>
      </c>
      <c r="AI70" s="55">
        <f>+IF(X70=INICIO!$B$31,IF(D70&lt;=82,0.15991*D70^2.32764, 0.15991*82^2.32764),AND(X70=INICIO!$B$32)*IF(D70&lt;=79.9,0.13657*D70^2.38351,0.13657*79.9^2.38351))</f>
        <v>134.06329154071116</v>
      </c>
      <c r="AJ70" s="56">
        <f t="shared" si="15"/>
        <v>2681.2658308142231</v>
      </c>
      <c r="AK70" s="56">
        <f>+AI70/1000*INICIO!$D$50</f>
        <v>6.3009747024134241E-2</v>
      </c>
      <c r="AL70" s="56">
        <f>+AJ70/1000*INICIO!$D$50</f>
        <v>1.2601949404826847</v>
      </c>
      <c r="AM70" s="57" t="str">
        <f>+INICIO!$C$30</f>
        <v>UVG_B_Kg</v>
      </c>
    </row>
    <row r="71" spans="1:39" ht="15" x14ac:dyDescent="0.25">
      <c r="A71" s="24">
        <v>7</v>
      </c>
      <c r="B71" s="25">
        <f>'1BASE'!A71</f>
        <v>15</v>
      </c>
      <c r="C71" s="24">
        <f>'1BASE'!B71</f>
        <v>0</v>
      </c>
      <c r="D71" s="26">
        <f>'1BASE'!C71</f>
        <v>15</v>
      </c>
      <c r="E71" s="27">
        <f>'1BASE'!D71</f>
        <v>0</v>
      </c>
      <c r="F71" s="27">
        <f>'1BASE'!E71</f>
        <v>0</v>
      </c>
      <c r="G71" s="24"/>
      <c r="H71" s="26">
        <f>'1BASE'!F71</f>
        <v>0</v>
      </c>
      <c r="I71" s="24">
        <f>'1BASE'!G71</f>
        <v>0</v>
      </c>
      <c r="J71" s="24">
        <f>'1BASE'!H71</f>
        <v>0</v>
      </c>
      <c r="K71" s="24"/>
      <c r="L71" s="24"/>
      <c r="M71" s="24"/>
      <c r="N71" s="24"/>
      <c r="O71" s="24"/>
      <c r="P71" s="24"/>
      <c r="Q71" s="24"/>
      <c r="R71" s="24"/>
      <c r="S71" s="5"/>
      <c r="T71" s="5"/>
      <c r="U71" s="1" t="s">
        <v>96</v>
      </c>
      <c r="V71" s="11">
        <v>0.05</v>
      </c>
      <c r="W71" s="1">
        <f>+INICIO!$C$34</f>
        <v>2014</v>
      </c>
      <c r="X71" s="1" t="str">
        <f>+INICIO!$B$32</f>
        <v>LATIFOLIADO</v>
      </c>
      <c r="Y71" s="50" t="str">
        <f t="shared" si="8"/>
        <v>DEJAR</v>
      </c>
      <c r="Z71" s="50" t="str">
        <f t="shared" si="9"/>
        <v>DEJAR</v>
      </c>
      <c r="AA71" s="50" t="str">
        <f t="shared" si="10"/>
        <v>DEJAR</v>
      </c>
      <c r="AB71" s="50" t="str">
        <f t="shared" si="11"/>
        <v>DEJAR</v>
      </c>
      <c r="AC71" s="52">
        <f t="shared" si="12"/>
        <v>1.7671458676442587E-2</v>
      </c>
      <c r="AD71" s="52">
        <f t="shared" si="13"/>
        <v>0.35342917352885173</v>
      </c>
      <c r="AE71" s="52">
        <f>+IF(X71=INICIO!$B$31,0.15991*D71^2.32764,AND(X71=INICIO!$B$32)*0.13657*D71^2.38351)</f>
        <v>86.812164819560579</v>
      </c>
      <c r="AF71" s="52">
        <f t="shared" si="14"/>
        <v>1736.2432963912115</v>
      </c>
      <c r="AG71" s="52">
        <f>+AE71/1000*INICIO!$D$50</f>
        <v>4.0801717465193475E-2</v>
      </c>
      <c r="AH71" s="52">
        <f>+AF71/1000*INICIO!$D$50</f>
        <v>0.81603434930386942</v>
      </c>
      <c r="AI71" s="55">
        <f>+IF(X71=INICIO!$B$31,IF(D71&lt;=82,0.15991*D71^2.32764, 0.15991*82^2.32764),AND(X71=INICIO!$B$32)*IF(D71&lt;=79.9,0.13657*D71^2.38351,0.13657*79.9^2.38351))</f>
        <v>86.812164819560579</v>
      </c>
      <c r="AJ71" s="56">
        <f t="shared" si="15"/>
        <v>1736.2432963912115</v>
      </c>
      <c r="AK71" s="56">
        <f>+AI71/1000*INICIO!$D$50</f>
        <v>4.0801717465193475E-2</v>
      </c>
      <c r="AL71" s="56">
        <f>+AJ71/1000*INICIO!$D$50</f>
        <v>0.81603434930386942</v>
      </c>
      <c r="AM71" s="57" t="str">
        <f>+INICIO!$C$30</f>
        <v>UVG_B_Kg</v>
      </c>
    </row>
    <row r="72" spans="1:39" ht="15" x14ac:dyDescent="0.25">
      <c r="A72" s="24">
        <v>8</v>
      </c>
      <c r="B72" s="25">
        <f>'1BASE'!A72</f>
        <v>1</v>
      </c>
      <c r="C72" s="24" t="str">
        <f>'1BASE'!B72</f>
        <v>Cola de pava</v>
      </c>
      <c r="D72" s="26">
        <f>'1BASE'!C72</f>
        <v>45.5</v>
      </c>
      <c r="E72" s="27">
        <f>'1BASE'!D72</f>
        <v>0</v>
      </c>
      <c r="F72" s="27">
        <f>'1BASE'!E72</f>
        <v>0</v>
      </c>
      <c r="G72" s="27"/>
      <c r="H72" s="26">
        <f>'1BASE'!F72</f>
        <v>10.5</v>
      </c>
      <c r="I72" s="22" t="str">
        <f>'1BASE'!G72</f>
        <v>X</v>
      </c>
      <c r="J72" s="22" t="str">
        <f>'1BASE'!H72</f>
        <v>Y</v>
      </c>
      <c r="K72" s="24"/>
      <c r="L72" s="24"/>
      <c r="M72" s="24"/>
      <c r="N72" s="24"/>
      <c r="O72" s="24"/>
      <c r="P72" s="24"/>
      <c r="Q72" s="24"/>
      <c r="R72" s="24"/>
      <c r="S72" s="5"/>
      <c r="T72" s="5"/>
      <c r="U72" s="1" t="s">
        <v>96</v>
      </c>
      <c r="V72" s="11">
        <v>0.05</v>
      </c>
      <c r="W72" s="1">
        <f>+INICIO!$C$34</f>
        <v>2014</v>
      </c>
      <c r="X72" s="1" t="str">
        <f>+INICIO!$B$32</f>
        <v>LATIFOLIADO</v>
      </c>
      <c r="Y72" s="50" t="str">
        <f t="shared" si="8"/>
        <v>DEJAR</v>
      </c>
      <c r="Z72" s="50" t="str">
        <f t="shared" si="9"/>
        <v>DEJAR</v>
      </c>
      <c r="AA72" s="50" t="str">
        <f t="shared" si="10"/>
        <v>DEJAR</v>
      </c>
      <c r="AB72" s="50" t="str">
        <f t="shared" si="11"/>
        <v>DEJAR</v>
      </c>
      <c r="AC72" s="52">
        <f t="shared" si="12"/>
        <v>0.16259705477735675</v>
      </c>
      <c r="AD72" s="52">
        <f t="shared" si="13"/>
        <v>3.2519410955471351</v>
      </c>
      <c r="AE72" s="52">
        <f>+IF(X72=INICIO!$B$31,0.15991*D72^2.32764,AND(X72=INICIO!$B$32)*0.13657*D72^2.38351)</f>
        <v>1222.4808183928546</v>
      </c>
      <c r="AF72" s="52">
        <f t="shared" si="14"/>
        <v>24449.616367857092</v>
      </c>
      <c r="AG72" s="52">
        <f>+AE72/1000*INICIO!$D$50</f>
        <v>0.57456598464464159</v>
      </c>
      <c r="AH72" s="52">
        <f>+AF72/1000*INICIO!$D$50</f>
        <v>11.491319692892834</v>
      </c>
      <c r="AI72" s="55">
        <f>+IF(X72=INICIO!$B$31,IF(D72&lt;=82,0.15991*D72^2.32764, 0.15991*82^2.32764),AND(X72=INICIO!$B$32)*IF(D72&lt;=79.9,0.13657*D72^2.38351,0.13657*79.9^2.38351))</f>
        <v>1222.4808183928546</v>
      </c>
      <c r="AJ72" s="56">
        <f t="shared" si="15"/>
        <v>24449.616367857092</v>
      </c>
      <c r="AK72" s="56">
        <f>+AI72/1000*INICIO!$D$50</f>
        <v>0.57456598464464159</v>
      </c>
      <c r="AL72" s="56">
        <f>+AJ72/1000*INICIO!$D$50</f>
        <v>11.491319692892834</v>
      </c>
      <c r="AM72" s="57" t="str">
        <f>+INICIO!$C$30</f>
        <v>UVG_B_Kg</v>
      </c>
    </row>
    <row r="73" spans="1:39" ht="15" x14ac:dyDescent="0.25">
      <c r="A73" s="24">
        <v>8</v>
      </c>
      <c r="B73" s="25">
        <f>'1BASE'!A73</f>
        <v>2</v>
      </c>
      <c r="C73" s="24" t="str">
        <f>'1BASE'!B73</f>
        <v>Orgon</v>
      </c>
      <c r="D73" s="26">
        <f>'1BASE'!C73</f>
        <v>51.8</v>
      </c>
      <c r="E73" s="27">
        <f>'1BASE'!D73</f>
        <v>44</v>
      </c>
      <c r="F73" s="27">
        <f>'1BASE'!E73</f>
        <v>120</v>
      </c>
      <c r="G73" s="32">
        <f>(TAN(RADIANS(E73))*20)+(TAN(RADIANS(F73))*20)</f>
        <v>-15.327240655236086</v>
      </c>
      <c r="H73" s="26">
        <f>'1BASE'!F73</f>
        <v>7</v>
      </c>
      <c r="I73" s="22" t="str">
        <f>'1BASE'!G73</f>
        <v>88° 38' 53.6''</v>
      </c>
      <c r="J73" s="22" t="str">
        <f>'1BASE'!H73</f>
        <v>15° 40' 59.6''</v>
      </c>
      <c r="K73" s="24" t="str">
        <f>LEFT(I73,2)</f>
        <v>88</v>
      </c>
      <c r="L73" s="24" t="str">
        <f>+LEFT(RIGHT(I73,10),2)</f>
        <v>38</v>
      </c>
      <c r="M73" s="24" t="str">
        <f>+LEFT(RIGHT(I73,6),4)</f>
        <v>53.6</v>
      </c>
      <c r="N73" s="24">
        <f>(K73+((L73+(M73/60)/60)/60))*-1</f>
        <v>-88.633581481481485</v>
      </c>
      <c r="O73" s="24" t="str">
        <f>LEFT(J73,2)</f>
        <v>15</v>
      </c>
      <c r="P73" s="24" t="str">
        <f>+LEFT(RIGHT(J73,10),2)</f>
        <v>40</v>
      </c>
      <c r="Q73" s="24" t="str">
        <f>+LEFT(RIGHT(J73,6),4)</f>
        <v>59.6</v>
      </c>
      <c r="R73" s="24">
        <f>O73+((P73+(Q73/60)/60)/60)</f>
        <v>15.666942592592592</v>
      </c>
      <c r="S73" s="11">
        <v>700088.93505700002</v>
      </c>
      <c r="T73" s="11">
        <v>1733321.83849</v>
      </c>
      <c r="U73" s="1" t="s">
        <v>96</v>
      </c>
      <c r="V73" s="11">
        <v>0.05</v>
      </c>
      <c r="W73" s="1">
        <f>+INICIO!$C$34</f>
        <v>2014</v>
      </c>
      <c r="X73" s="1" t="str">
        <f>+INICIO!$B$32</f>
        <v>LATIFOLIADO</v>
      </c>
      <c r="Y73" s="50" t="str">
        <f t="shared" si="8"/>
        <v>DEJAR</v>
      </c>
      <c r="Z73" s="50" t="str">
        <f t="shared" si="9"/>
        <v>DEJAR</v>
      </c>
      <c r="AA73" s="50" t="str">
        <f t="shared" si="10"/>
        <v>DEJAR</v>
      </c>
      <c r="AB73" s="50" t="str">
        <f t="shared" si="11"/>
        <v>DEJAR</v>
      </c>
      <c r="AC73" s="52">
        <f t="shared" si="12"/>
        <v>0.21074117679545692</v>
      </c>
      <c r="AD73" s="52">
        <f t="shared" si="13"/>
        <v>4.2148235359091384</v>
      </c>
      <c r="AE73" s="52">
        <f>+IF(X73=INICIO!$B$31,0.15991*D73^2.32764,AND(X73=INICIO!$B$32)*0.13657*D73^2.38351)</f>
        <v>1665.2423033831058</v>
      </c>
      <c r="AF73" s="52">
        <f t="shared" si="14"/>
        <v>33304.846067662111</v>
      </c>
      <c r="AG73" s="52">
        <f>+AE73/1000*INICIO!$D$50</f>
        <v>0.7826638825900597</v>
      </c>
      <c r="AH73" s="52">
        <f>+AF73/1000*INICIO!$D$50</f>
        <v>15.653277651801192</v>
      </c>
      <c r="AI73" s="55">
        <f>+IF(X73=INICIO!$B$31,IF(D73&lt;=82,0.15991*D73^2.32764, 0.15991*82^2.32764),AND(X73=INICIO!$B$32)*IF(D73&lt;=79.9,0.13657*D73^2.38351,0.13657*79.9^2.38351))</f>
        <v>1665.2423033831058</v>
      </c>
      <c r="AJ73" s="56">
        <f t="shared" si="15"/>
        <v>33304.846067662111</v>
      </c>
      <c r="AK73" s="56">
        <f>+AI73/1000*INICIO!$D$50</f>
        <v>0.7826638825900597</v>
      </c>
      <c r="AL73" s="56">
        <f>+AJ73/1000*INICIO!$D$50</f>
        <v>15.653277651801192</v>
      </c>
      <c r="AM73" s="57" t="str">
        <f>+INICIO!$C$30</f>
        <v>UVG_B_Kg</v>
      </c>
    </row>
    <row r="74" spans="1:39" ht="15" x14ac:dyDescent="0.25">
      <c r="A74" s="24">
        <v>8</v>
      </c>
      <c r="B74" s="25">
        <f>'1BASE'!A74</f>
        <v>3</v>
      </c>
      <c r="C74" s="24" t="str">
        <f>'1BASE'!B74</f>
        <v>Conacaste</v>
      </c>
      <c r="D74" s="26">
        <f>'1BASE'!C74</f>
        <v>71.3</v>
      </c>
      <c r="E74" s="27">
        <f>'1BASE'!D74</f>
        <v>42</v>
      </c>
      <c r="F74" s="27">
        <f>'1BASE'!E74</f>
        <v>107</v>
      </c>
      <c r="G74" s="32">
        <f>(TAN(RADIANS(E74))*20)+(TAN(RADIANS(F74))*20)</f>
        <v>-47.408971483726049</v>
      </c>
      <c r="H74" s="26">
        <f>'1BASE'!F74</f>
        <v>8.5</v>
      </c>
      <c r="I74" s="24">
        <f>'1BASE'!G74</f>
        <v>0</v>
      </c>
      <c r="J74" s="24">
        <f>'1BASE'!H74</f>
        <v>0</v>
      </c>
      <c r="K74" s="24"/>
      <c r="L74" s="24"/>
      <c r="M74" s="24"/>
      <c r="N74" s="24"/>
      <c r="O74" s="24"/>
      <c r="P74" s="24"/>
      <c r="Q74" s="24"/>
      <c r="R74" s="24"/>
      <c r="S74" s="5"/>
      <c r="T74" s="5"/>
      <c r="U74" s="1" t="s">
        <v>96</v>
      </c>
      <c r="V74" s="11">
        <v>0.05</v>
      </c>
      <c r="W74" s="1">
        <f>+INICIO!$C$34</f>
        <v>2014</v>
      </c>
      <c r="X74" s="1" t="str">
        <f>+INICIO!$B$32</f>
        <v>LATIFOLIADO</v>
      </c>
      <c r="Y74" s="50" t="str">
        <f t="shared" si="8"/>
        <v>DEJAR</v>
      </c>
      <c r="Z74" s="50" t="str">
        <f t="shared" si="9"/>
        <v>DEJAR</v>
      </c>
      <c r="AA74" s="50" t="str">
        <f t="shared" si="10"/>
        <v>DEJAR</v>
      </c>
      <c r="AB74" s="50" t="str">
        <f t="shared" si="11"/>
        <v>DEJAR</v>
      </c>
      <c r="AC74" s="52">
        <f t="shared" si="12"/>
        <v>0.39927207892819733</v>
      </c>
      <c r="AD74" s="52">
        <f t="shared" si="13"/>
        <v>7.9854415785639459</v>
      </c>
      <c r="AE74" s="52">
        <f>+IF(X74=INICIO!$B$31,0.15991*D74^2.32764,AND(X74=INICIO!$B$32)*0.13657*D74^2.38351)</f>
        <v>3566.2578013584557</v>
      </c>
      <c r="AF74" s="52">
        <f t="shared" si="14"/>
        <v>71325.156027169112</v>
      </c>
      <c r="AG74" s="52">
        <f>+AE74/1000*INICIO!$D$50</f>
        <v>1.6761411666384742</v>
      </c>
      <c r="AH74" s="52">
        <f>+AF74/1000*INICIO!$D$50</f>
        <v>33.522823332769484</v>
      </c>
      <c r="AI74" s="55">
        <f>+IF(X74=INICIO!$B$31,IF(D74&lt;=82,0.15991*D74^2.32764, 0.15991*82^2.32764),AND(X74=INICIO!$B$32)*IF(D74&lt;=79.9,0.13657*D74^2.38351,0.13657*79.9^2.38351))</f>
        <v>3566.2578013584557</v>
      </c>
      <c r="AJ74" s="56">
        <f t="shared" si="15"/>
        <v>71325.156027169112</v>
      </c>
      <c r="AK74" s="56">
        <f>+AI74/1000*INICIO!$D$50</f>
        <v>1.6761411666384742</v>
      </c>
      <c r="AL74" s="56">
        <f>+AJ74/1000*INICIO!$D$50</f>
        <v>33.522823332769484</v>
      </c>
      <c r="AM74" s="57" t="str">
        <f>+INICIO!$C$30</f>
        <v>UVG_B_Kg</v>
      </c>
    </row>
    <row r="75" spans="1:39" ht="15" x14ac:dyDescent="0.25">
      <c r="A75" s="24">
        <v>8</v>
      </c>
      <c r="B75" s="25">
        <f>'1BASE'!A75</f>
        <v>4</v>
      </c>
      <c r="C75" s="24" t="str">
        <f>'1BASE'!B75</f>
        <v>Chichicaste</v>
      </c>
      <c r="D75" s="26">
        <f>'1BASE'!C75</f>
        <v>67.900000000000006</v>
      </c>
      <c r="E75" s="27">
        <f>'1BASE'!D75</f>
        <v>0</v>
      </c>
      <c r="F75" s="27">
        <f>'1BASE'!E75</f>
        <v>0</v>
      </c>
      <c r="G75" s="27"/>
      <c r="H75" s="26">
        <f>'1BASE'!F75</f>
        <v>9.5</v>
      </c>
      <c r="I75" s="24">
        <f>'1BASE'!G75</f>
        <v>0</v>
      </c>
      <c r="J75" s="24">
        <f>'1BASE'!H75</f>
        <v>0</v>
      </c>
      <c r="K75" s="24"/>
      <c r="L75" s="24"/>
      <c r="M75" s="24"/>
      <c r="N75" s="24"/>
      <c r="O75" s="24"/>
      <c r="P75" s="24"/>
      <c r="Q75" s="24"/>
      <c r="R75" s="24"/>
      <c r="S75" s="5"/>
      <c r="T75" s="5"/>
      <c r="U75" s="1" t="s">
        <v>96</v>
      </c>
      <c r="V75" s="11">
        <v>0.05</v>
      </c>
      <c r="W75" s="1">
        <f>+INICIO!$C$34</f>
        <v>2014</v>
      </c>
      <c r="X75" s="1" t="str">
        <f>+INICIO!$B$32</f>
        <v>LATIFOLIADO</v>
      </c>
      <c r="Y75" s="50" t="str">
        <f t="shared" si="8"/>
        <v>DEJAR</v>
      </c>
      <c r="Z75" s="50" t="str">
        <f t="shared" si="9"/>
        <v>DEJAR</v>
      </c>
      <c r="AA75" s="50" t="str">
        <f t="shared" si="10"/>
        <v>DEJAR</v>
      </c>
      <c r="AB75" s="50" t="str">
        <f t="shared" si="11"/>
        <v>DEJAR</v>
      </c>
      <c r="AC75" s="52">
        <f t="shared" si="12"/>
        <v>0.36210075465092301</v>
      </c>
      <c r="AD75" s="52">
        <f t="shared" si="13"/>
        <v>7.2420150930184599</v>
      </c>
      <c r="AE75" s="52">
        <f>+IF(X75=INICIO!$B$31,0.15991*D75^2.32764,AND(X75=INICIO!$B$32)*0.13657*D75^2.38351)</f>
        <v>3174.2069273179204</v>
      </c>
      <c r="AF75" s="52">
        <f t="shared" si="14"/>
        <v>63484.138546358408</v>
      </c>
      <c r="AG75" s="52">
        <f>+AE75/1000*INICIO!$D$50</f>
        <v>1.4918772558394227</v>
      </c>
      <c r="AH75" s="52">
        <f>+AF75/1000*INICIO!$D$50</f>
        <v>29.837545116788451</v>
      </c>
      <c r="AI75" s="55">
        <f>+IF(X75=INICIO!$B$31,IF(D75&lt;=82,0.15991*D75^2.32764, 0.15991*82^2.32764),AND(X75=INICIO!$B$32)*IF(D75&lt;=79.9,0.13657*D75^2.38351,0.13657*79.9^2.38351))</f>
        <v>3174.2069273179204</v>
      </c>
      <c r="AJ75" s="56">
        <f t="shared" si="15"/>
        <v>63484.138546358408</v>
      </c>
      <c r="AK75" s="56">
        <f>+AI75/1000*INICIO!$D$50</f>
        <v>1.4918772558394227</v>
      </c>
      <c r="AL75" s="56">
        <f>+AJ75/1000*INICIO!$D$50</f>
        <v>29.837545116788451</v>
      </c>
      <c r="AM75" s="57" t="str">
        <f>+INICIO!$C$30</f>
        <v>UVG_B_Kg</v>
      </c>
    </row>
    <row r="76" spans="1:39" ht="15" x14ac:dyDescent="0.25">
      <c r="A76" s="24">
        <v>8</v>
      </c>
      <c r="B76" s="25">
        <f>'1BASE'!A76</f>
        <v>5</v>
      </c>
      <c r="C76" s="24">
        <f>'1BASE'!B76</f>
        <v>0</v>
      </c>
      <c r="D76" s="26">
        <f>'1BASE'!C76</f>
        <v>18</v>
      </c>
      <c r="E76" s="27">
        <f>'1BASE'!D76</f>
        <v>0</v>
      </c>
      <c r="F76" s="27">
        <f>'1BASE'!E76</f>
        <v>0</v>
      </c>
      <c r="G76" s="27"/>
      <c r="H76" s="26">
        <f>'1BASE'!F76</f>
        <v>7</v>
      </c>
      <c r="I76" s="24">
        <f>'1BASE'!G76</f>
        <v>0</v>
      </c>
      <c r="J76" s="24">
        <f>'1BASE'!H76</f>
        <v>0</v>
      </c>
      <c r="K76" s="24"/>
      <c r="L76" s="24"/>
      <c r="M76" s="24"/>
      <c r="N76" s="24"/>
      <c r="O76" s="24"/>
      <c r="P76" s="24"/>
      <c r="Q76" s="24"/>
      <c r="R76" s="24"/>
      <c r="S76" s="5"/>
      <c r="T76" s="5"/>
      <c r="U76" s="1" t="s">
        <v>96</v>
      </c>
      <c r="V76" s="11">
        <v>0.05</v>
      </c>
      <c r="W76" s="1">
        <f>+INICIO!$C$34</f>
        <v>2014</v>
      </c>
      <c r="X76" s="1" t="str">
        <f>+INICIO!$B$32</f>
        <v>LATIFOLIADO</v>
      </c>
      <c r="Y76" s="50" t="str">
        <f t="shared" si="8"/>
        <v>DEJAR</v>
      </c>
      <c r="Z76" s="50" t="str">
        <f t="shared" si="9"/>
        <v>DEJAR</v>
      </c>
      <c r="AA76" s="50" t="str">
        <f t="shared" si="10"/>
        <v>DEJAR</v>
      </c>
      <c r="AB76" s="50" t="str">
        <f t="shared" si="11"/>
        <v>DEJAR</v>
      </c>
      <c r="AC76" s="52">
        <f t="shared" si="12"/>
        <v>2.5446900494077322E-2</v>
      </c>
      <c r="AD76" s="52">
        <f t="shared" si="13"/>
        <v>0.50893800988154636</v>
      </c>
      <c r="AE76" s="52">
        <f>+IF(X76=INICIO!$B$31,0.15991*D76^2.32764,AND(X76=INICIO!$B$32)*0.13657*D76^2.38351)</f>
        <v>134.06329154071116</v>
      </c>
      <c r="AF76" s="52">
        <f t="shared" si="14"/>
        <v>2681.2658308142231</v>
      </c>
      <c r="AG76" s="52">
        <f>+AE76/1000*INICIO!$D$50</f>
        <v>6.3009747024134241E-2</v>
      </c>
      <c r="AH76" s="52">
        <f>+AF76/1000*INICIO!$D$50</f>
        <v>1.2601949404826847</v>
      </c>
      <c r="AI76" s="55">
        <f>+IF(X76=INICIO!$B$31,IF(D76&lt;=82,0.15991*D76^2.32764, 0.15991*82^2.32764),AND(X76=INICIO!$B$32)*IF(D76&lt;=79.9,0.13657*D76^2.38351,0.13657*79.9^2.38351))</f>
        <v>134.06329154071116</v>
      </c>
      <c r="AJ76" s="56">
        <f t="shared" si="15"/>
        <v>2681.2658308142231</v>
      </c>
      <c r="AK76" s="56">
        <f>+AI76/1000*INICIO!$D$50</f>
        <v>6.3009747024134241E-2</v>
      </c>
      <c r="AL76" s="56">
        <f>+AJ76/1000*INICIO!$D$50</f>
        <v>1.2601949404826847</v>
      </c>
      <c r="AM76" s="57" t="str">
        <f>+INICIO!$C$30</f>
        <v>UVG_B_Kg</v>
      </c>
    </row>
    <row r="77" spans="1:39" ht="15" x14ac:dyDescent="0.25">
      <c r="A77" s="24">
        <v>8</v>
      </c>
      <c r="B77" s="25">
        <f>'1BASE'!A77</f>
        <v>6</v>
      </c>
      <c r="C77" s="24">
        <f>'1BASE'!B77</f>
        <v>0</v>
      </c>
      <c r="D77" s="26">
        <f>'1BASE'!C77</f>
        <v>21.4</v>
      </c>
      <c r="E77" s="27">
        <f>'1BASE'!D77</f>
        <v>0</v>
      </c>
      <c r="F77" s="27">
        <f>'1BASE'!E77</f>
        <v>0</v>
      </c>
      <c r="G77" s="27"/>
      <c r="H77" s="26">
        <f>'1BASE'!F77</f>
        <v>9</v>
      </c>
      <c r="I77" s="24">
        <f>'1BASE'!G77</f>
        <v>0</v>
      </c>
      <c r="J77" s="24">
        <f>'1BASE'!H77</f>
        <v>0</v>
      </c>
      <c r="K77" s="24"/>
      <c r="L77" s="24"/>
      <c r="M77" s="24"/>
      <c r="N77" s="24"/>
      <c r="O77" s="24"/>
      <c r="P77" s="24"/>
      <c r="Q77" s="24"/>
      <c r="R77" s="24"/>
      <c r="S77" s="5"/>
      <c r="T77" s="5"/>
      <c r="U77" s="1" t="s">
        <v>96</v>
      </c>
      <c r="V77" s="11">
        <v>0.05</v>
      </c>
      <c r="W77" s="1">
        <f>+INICIO!$C$34</f>
        <v>2014</v>
      </c>
      <c r="X77" s="1" t="str">
        <f>+INICIO!$B$32</f>
        <v>LATIFOLIADO</v>
      </c>
      <c r="Y77" s="50" t="str">
        <f t="shared" si="8"/>
        <v>DEJAR</v>
      </c>
      <c r="Z77" s="50" t="str">
        <f t="shared" si="9"/>
        <v>DEJAR</v>
      </c>
      <c r="AA77" s="50" t="str">
        <f t="shared" si="10"/>
        <v>DEJAR</v>
      </c>
      <c r="AB77" s="50" t="str">
        <f t="shared" si="11"/>
        <v>DEJAR</v>
      </c>
      <c r="AC77" s="52">
        <f t="shared" si="12"/>
        <v>3.5968094290949541E-2</v>
      </c>
      <c r="AD77" s="52">
        <f t="shared" si="13"/>
        <v>0.71936188581899074</v>
      </c>
      <c r="AE77" s="52">
        <f>+IF(X77=INICIO!$B$31,0.15991*D77^2.32764,AND(X77=INICIO!$B$32)*0.13657*D77^2.38351)</f>
        <v>202.4929196554134</v>
      </c>
      <c r="AF77" s="52">
        <f t="shared" si="14"/>
        <v>4049.858393108268</v>
      </c>
      <c r="AG77" s="52">
        <f>+AE77/1000*INICIO!$D$50</f>
        <v>9.5171672238044291E-2</v>
      </c>
      <c r="AH77" s="52">
        <f>+AF77/1000*INICIO!$D$50</f>
        <v>1.9034334447608858</v>
      </c>
      <c r="AI77" s="55">
        <f>+IF(X77=INICIO!$B$31,IF(D77&lt;=82,0.15991*D77^2.32764, 0.15991*82^2.32764),AND(X77=INICIO!$B$32)*IF(D77&lt;=79.9,0.13657*D77^2.38351,0.13657*79.9^2.38351))</f>
        <v>202.4929196554134</v>
      </c>
      <c r="AJ77" s="56">
        <f t="shared" si="15"/>
        <v>4049.858393108268</v>
      </c>
      <c r="AK77" s="56">
        <f>+AI77/1000*INICIO!$D$50</f>
        <v>9.5171672238044291E-2</v>
      </c>
      <c r="AL77" s="56">
        <f>+AJ77/1000*INICIO!$D$50</f>
        <v>1.9034334447608858</v>
      </c>
      <c r="AM77" s="57" t="str">
        <f>+INICIO!$C$30</f>
        <v>UVG_B_Kg</v>
      </c>
    </row>
    <row r="78" spans="1:39" ht="15" x14ac:dyDescent="0.25">
      <c r="A78" s="24">
        <v>8</v>
      </c>
      <c r="B78" s="25">
        <f>'1BASE'!A78</f>
        <v>7</v>
      </c>
      <c r="C78" s="24">
        <f>'1BASE'!B78</f>
        <v>0</v>
      </c>
      <c r="D78" s="26">
        <f>'1BASE'!C78</f>
        <v>26.5</v>
      </c>
      <c r="E78" s="27">
        <f>'1BASE'!D78</f>
        <v>0</v>
      </c>
      <c r="F78" s="27">
        <f>'1BASE'!E78</f>
        <v>0</v>
      </c>
      <c r="G78" s="27"/>
      <c r="H78" s="26">
        <f>'1BASE'!F78</f>
        <v>7</v>
      </c>
      <c r="I78" s="24">
        <f>'1BASE'!G78</f>
        <v>0</v>
      </c>
      <c r="J78" s="24">
        <f>'1BASE'!H78</f>
        <v>0</v>
      </c>
      <c r="K78" s="24"/>
      <c r="L78" s="24"/>
      <c r="M78" s="24"/>
      <c r="N78" s="24"/>
      <c r="O78" s="24"/>
      <c r="P78" s="24"/>
      <c r="Q78" s="24"/>
      <c r="R78" s="24"/>
      <c r="S78" s="5"/>
      <c r="T78" s="5"/>
      <c r="U78" s="1" t="s">
        <v>96</v>
      </c>
      <c r="V78" s="11">
        <v>0.05</v>
      </c>
      <c r="W78" s="1">
        <f>+INICIO!$C$34</f>
        <v>2014</v>
      </c>
      <c r="X78" s="1" t="str">
        <f>+INICIO!$B$32</f>
        <v>LATIFOLIADO</v>
      </c>
      <c r="Y78" s="50" t="str">
        <f t="shared" si="8"/>
        <v>DEJAR</v>
      </c>
      <c r="Z78" s="50" t="str">
        <f t="shared" si="9"/>
        <v>DEJAR</v>
      </c>
      <c r="AA78" s="50" t="str">
        <f t="shared" si="10"/>
        <v>DEJAR</v>
      </c>
      <c r="AB78" s="50" t="str">
        <f t="shared" si="11"/>
        <v>DEJAR</v>
      </c>
      <c r="AC78" s="52">
        <f t="shared" si="12"/>
        <v>5.5154586024585811E-2</v>
      </c>
      <c r="AD78" s="52">
        <f t="shared" si="13"/>
        <v>1.1030917204917161</v>
      </c>
      <c r="AE78" s="52">
        <f>+IF(X78=INICIO!$B$31,0.15991*D78^2.32764,AND(X78=INICIO!$B$32)*0.13657*D78^2.38351)</f>
        <v>337.03583743732253</v>
      </c>
      <c r="AF78" s="52">
        <f t="shared" si="14"/>
        <v>6740.7167487464503</v>
      </c>
      <c r="AG78" s="52">
        <f>+AE78/1000*INICIO!$D$50</f>
        <v>0.15840684359554158</v>
      </c>
      <c r="AH78" s="52">
        <f>+AF78/1000*INICIO!$D$50</f>
        <v>3.1681368719108316</v>
      </c>
      <c r="AI78" s="55">
        <f>+IF(X78=INICIO!$B$31,IF(D78&lt;=82,0.15991*D78^2.32764, 0.15991*82^2.32764),AND(X78=INICIO!$B$32)*IF(D78&lt;=79.9,0.13657*D78^2.38351,0.13657*79.9^2.38351))</f>
        <v>337.03583743732253</v>
      </c>
      <c r="AJ78" s="56">
        <f t="shared" si="15"/>
        <v>6740.7167487464503</v>
      </c>
      <c r="AK78" s="56">
        <f>+AI78/1000*INICIO!$D$50</f>
        <v>0.15840684359554158</v>
      </c>
      <c r="AL78" s="56">
        <f>+AJ78/1000*INICIO!$D$50</f>
        <v>3.1681368719108316</v>
      </c>
      <c r="AM78" s="57" t="str">
        <f>+INICIO!$C$30</f>
        <v>UVG_B_Kg</v>
      </c>
    </row>
    <row r="79" spans="1:39" ht="15" x14ac:dyDescent="0.25">
      <c r="A79" s="24">
        <v>8</v>
      </c>
      <c r="B79" s="25">
        <f>'1BASE'!A79</f>
        <v>8</v>
      </c>
      <c r="C79" s="24">
        <f>'1BASE'!B79</f>
        <v>0</v>
      </c>
      <c r="D79" s="26">
        <f>'1BASE'!C79</f>
        <v>39.799999999999997</v>
      </c>
      <c r="E79" s="27">
        <f>'1BASE'!D79</f>
        <v>0</v>
      </c>
      <c r="F79" s="27">
        <f>'1BASE'!E79</f>
        <v>0</v>
      </c>
      <c r="G79" s="27"/>
      <c r="H79" s="26">
        <f>'1BASE'!F79</f>
        <v>5</v>
      </c>
      <c r="I79" s="24">
        <f>'1BASE'!G79</f>
        <v>0</v>
      </c>
      <c r="J79" s="24">
        <f>'1BASE'!H79</f>
        <v>0</v>
      </c>
      <c r="K79" s="24"/>
      <c r="L79" s="24"/>
      <c r="M79" s="24"/>
      <c r="N79" s="24"/>
      <c r="O79" s="24"/>
      <c r="P79" s="24"/>
      <c r="Q79" s="24"/>
      <c r="R79" s="24"/>
      <c r="S79" s="5"/>
      <c r="T79" s="5"/>
      <c r="U79" s="1" t="s">
        <v>96</v>
      </c>
      <c r="V79" s="11">
        <v>0.05</v>
      </c>
      <c r="W79" s="1">
        <f>+INICIO!$C$34</f>
        <v>2014</v>
      </c>
      <c r="X79" s="1" t="str">
        <f>+INICIO!$B$32</f>
        <v>LATIFOLIADO</v>
      </c>
      <c r="Y79" s="50" t="str">
        <f t="shared" si="8"/>
        <v>DEJAR</v>
      </c>
      <c r="Z79" s="50" t="str">
        <f t="shared" si="9"/>
        <v>DEJAR</v>
      </c>
      <c r="AA79" s="50" t="str">
        <f t="shared" si="10"/>
        <v>DEJAR</v>
      </c>
      <c r="AB79" s="50" t="str">
        <f t="shared" si="11"/>
        <v>DEJAR</v>
      </c>
      <c r="AC79" s="52">
        <f t="shared" si="12"/>
        <v>0.12441021067480937</v>
      </c>
      <c r="AD79" s="52">
        <f t="shared" si="13"/>
        <v>2.488204213496187</v>
      </c>
      <c r="AE79" s="52">
        <f>+IF(X79=INICIO!$B$31,0.15991*D79^2.32764,AND(X79=INICIO!$B$32)*0.13657*D79^2.38351)</f>
        <v>888.57197250486888</v>
      </c>
      <c r="AF79" s="52">
        <f t="shared" si="14"/>
        <v>17771.439450097376</v>
      </c>
      <c r="AG79" s="52">
        <f>+AE79/1000*INICIO!$D$50</f>
        <v>0.41762882707728832</v>
      </c>
      <c r="AH79" s="52">
        <f>+AF79/1000*INICIO!$D$50</f>
        <v>8.3525765415457656</v>
      </c>
      <c r="AI79" s="55">
        <f>+IF(X79=INICIO!$B$31,IF(D79&lt;=82,0.15991*D79^2.32764, 0.15991*82^2.32764),AND(X79=INICIO!$B$32)*IF(D79&lt;=79.9,0.13657*D79^2.38351,0.13657*79.9^2.38351))</f>
        <v>888.57197250486888</v>
      </c>
      <c r="AJ79" s="56">
        <f t="shared" si="15"/>
        <v>17771.439450097376</v>
      </c>
      <c r="AK79" s="56">
        <f>+AI79/1000*INICIO!$D$50</f>
        <v>0.41762882707728832</v>
      </c>
      <c r="AL79" s="56">
        <f>+AJ79/1000*INICIO!$D$50</f>
        <v>8.3525765415457656</v>
      </c>
      <c r="AM79" s="57" t="str">
        <f>+INICIO!$C$30</f>
        <v>UVG_B_Kg</v>
      </c>
    </row>
    <row r="80" spans="1:39" ht="15" x14ac:dyDescent="0.25">
      <c r="A80" s="24">
        <v>8</v>
      </c>
      <c r="B80" s="25">
        <f>'1BASE'!A80</f>
        <v>9</v>
      </c>
      <c r="C80" s="24">
        <f>'1BASE'!B80</f>
        <v>0</v>
      </c>
      <c r="D80" s="26">
        <f>'1BASE'!C80</f>
        <v>20.5</v>
      </c>
      <c r="E80" s="27">
        <f>'1BASE'!D80</f>
        <v>0</v>
      </c>
      <c r="F80" s="27">
        <f>'1BASE'!E80</f>
        <v>0</v>
      </c>
      <c r="G80" s="27"/>
      <c r="H80" s="26">
        <f>'1BASE'!F80</f>
        <v>4</v>
      </c>
      <c r="I80" s="24">
        <f>'1BASE'!G80</f>
        <v>0</v>
      </c>
      <c r="J80" s="24">
        <f>'1BASE'!H80</f>
        <v>0</v>
      </c>
      <c r="K80" s="24"/>
      <c r="L80" s="24"/>
      <c r="M80" s="24"/>
      <c r="N80" s="24"/>
      <c r="O80" s="24"/>
      <c r="P80" s="24"/>
      <c r="Q80" s="24"/>
      <c r="R80" s="24"/>
      <c r="S80" s="5"/>
      <c r="T80" s="5"/>
      <c r="U80" s="1" t="s">
        <v>96</v>
      </c>
      <c r="V80" s="11">
        <v>0.05</v>
      </c>
      <c r="W80" s="1">
        <f>+INICIO!$C$34</f>
        <v>2014</v>
      </c>
      <c r="X80" s="1" t="str">
        <f>+INICIO!$B$32</f>
        <v>LATIFOLIADO</v>
      </c>
      <c r="Y80" s="50" t="str">
        <f t="shared" si="8"/>
        <v>DEJAR</v>
      </c>
      <c r="Z80" s="50" t="str">
        <f t="shared" si="9"/>
        <v>DEJAR</v>
      </c>
      <c r="AA80" s="50" t="str">
        <f t="shared" si="10"/>
        <v>DEJAR</v>
      </c>
      <c r="AB80" s="50" t="str">
        <f t="shared" si="11"/>
        <v>DEJAR</v>
      </c>
      <c r="AC80" s="52">
        <f t="shared" si="12"/>
        <v>3.3006357816777757E-2</v>
      </c>
      <c r="AD80" s="52">
        <f t="shared" si="13"/>
        <v>0.66012715633555508</v>
      </c>
      <c r="AE80" s="52">
        <f>+IF(X80=INICIO!$B$31,0.15991*D80^2.32764,AND(X80=INICIO!$B$32)*0.13657*D80^2.38351)</f>
        <v>182.78213876481104</v>
      </c>
      <c r="AF80" s="52">
        <f t="shared" si="14"/>
        <v>3655.6427752962204</v>
      </c>
      <c r="AG80" s="52">
        <f>+AE80/1000*INICIO!$D$50</f>
        <v>8.5907605219461183E-2</v>
      </c>
      <c r="AH80" s="52">
        <f>+AF80/1000*INICIO!$D$50</f>
        <v>1.7181521043892234</v>
      </c>
      <c r="AI80" s="55">
        <f>+IF(X80=INICIO!$B$31,IF(D80&lt;=82,0.15991*D80^2.32764, 0.15991*82^2.32764),AND(X80=INICIO!$B$32)*IF(D80&lt;=79.9,0.13657*D80^2.38351,0.13657*79.9^2.38351))</f>
        <v>182.78213876481104</v>
      </c>
      <c r="AJ80" s="56">
        <f t="shared" si="15"/>
        <v>3655.6427752962204</v>
      </c>
      <c r="AK80" s="56">
        <f>+AI80/1000*INICIO!$D$50</f>
        <v>8.5907605219461183E-2</v>
      </c>
      <c r="AL80" s="56">
        <f>+AJ80/1000*INICIO!$D$50</f>
        <v>1.7181521043892234</v>
      </c>
      <c r="AM80" s="57" t="str">
        <f>+INICIO!$C$30</f>
        <v>UVG_B_Kg</v>
      </c>
    </row>
    <row r="81" spans="1:39" ht="15" x14ac:dyDescent="0.25">
      <c r="A81" s="24">
        <v>8</v>
      </c>
      <c r="B81" s="25">
        <f>'1BASE'!A81</f>
        <v>10</v>
      </c>
      <c r="C81" s="24">
        <f>'1BASE'!B81</f>
        <v>0</v>
      </c>
      <c r="D81" s="26">
        <f>'1BASE'!C81</f>
        <v>48.9</v>
      </c>
      <c r="E81" s="27">
        <f>'1BASE'!D81</f>
        <v>0</v>
      </c>
      <c r="F81" s="27">
        <f>'1BASE'!E81</f>
        <v>0</v>
      </c>
      <c r="G81" s="27"/>
      <c r="H81" s="26">
        <f>'1BASE'!F81</f>
        <v>7</v>
      </c>
      <c r="I81" s="24">
        <f>'1BASE'!G81</f>
        <v>0</v>
      </c>
      <c r="J81" s="24">
        <f>'1BASE'!H81</f>
        <v>0</v>
      </c>
      <c r="K81" s="24"/>
      <c r="L81" s="24"/>
      <c r="M81" s="24"/>
      <c r="N81" s="24"/>
      <c r="O81" s="24"/>
      <c r="P81" s="24"/>
      <c r="Q81" s="24"/>
      <c r="R81" s="24"/>
      <c r="S81" s="5"/>
      <c r="T81" s="5"/>
      <c r="U81" s="1" t="s">
        <v>96</v>
      </c>
      <c r="V81" s="11">
        <v>0.05</v>
      </c>
      <c r="W81" s="1">
        <f>+INICIO!$C$34</f>
        <v>2014</v>
      </c>
      <c r="X81" s="1" t="str">
        <f>+INICIO!$B$32</f>
        <v>LATIFOLIADO</v>
      </c>
      <c r="Y81" s="50" t="str">
        <f t="shared" si="8"/>
        <v>DEJAR</v>
      </c>
      <c r="Z81" s="50" t="str">
        <f t="shared" si="9"/>
        <v>DEJAR</v>
      </c>
      <c r="AA81" s="50" t="str">
        <f t="shared" si="10"/>
        <v>DEJAR</v>
      </c>
      <c r="AB81" s="50" t="str">
        <f t="shared" si="11"/>
        <v>DEJAR</v>
      </c>
      <c r="AC81" s="52">
        <f t="shared" si="12"/>
        <v>0.18780519422976122</v>
      </c>
      <c r="AD81" s="52">
        <f t="shared" si="13"/>
        <v>3.7561038845952242</v>
      </c>
      <c r="AE81" s="52">
        <f>+IF(X81=INICIO!$B$31,0.15991*D81^2.32764,AND(X81=INICIO!$B$32)*0.13657*D81^2.38351)</f>
        <v>1451.5762979683334</v>
      </c>
      <c r="AF81" s="52">
        <f t="shared" si="14"/>
        <v>29031.525959366667</v>
      </c>
      <c r="AG81" s="52">
        <f>+AE81/1000*INICIO!$D$50</f>
        <v>0.68224086004511664</v>
      </c>
      <c r="AH81" s="52">
        <f>+AF81/1000*INICIO!$D$50</f>
        <v>13.644817200902333</v>
      </c>
      <c r="AI81" s="55">
        <f>+IF(X81=INICIO!$B$31,IF(D81&lt;=82,0.15991*D81^2.32764, 0.15991*82^2.32764),AND(X81=INICIO!$B$32)*IF(D81&lt;=79.9,0.13657*D81^2.38351,0.13657*79.9^2.38351))</f>
        <v>1451.5762979683334</v>
      </c>
      <c r="AJ81" s="56">
        <f t="shared" si="15"/>
        <v>29031.525959366667</v>
      </c>
      <c r="AK81" s="56">
        <f>+AI81/1000*INICIO!$D$50</f>
        <v>0.68224086004511664</v>
      </c>
      <c r="AL81" s="56">
        <f>+AJ81/1000*INICIO!$D$50</f>
        <v>13.644817200902333</v>
      </c>
      <c r="AM81" s="57" t="str">
        <f>+INICIO!$C$30</f>
        <v>UVG_B_Kg</v>
      </c>
    </row>
    <row r="82" spans="1:39" ht="15" x14ac:dyDescent="0.25">
      <c r="A82" s="24">
        <v>8</v>
      </c>
      <c r="B82" s="25">
        <f>'1BASE'!A82</f>
        <v>11</v>
      </c>
      <c r="C82" s="24" t="str">
        <f>'1BASE'!B82</f>
        <v>Guarumo</v>
      </c>
      <c r="D82" s="26">
        <f>'1BASE'!C82</f>
        <v>16.5</v>
      </c>
      <c r="E82" s="27">
        <f>'1BASE'!D82</f>
        <v>0</v>
      </c>
      <c r="F82" s="27">
        <f>'1BASE'!E82</f>
        <v>0</v>
      </c>
      <c r="G82" s="27"/>
      <c r="H82" s="26">
        <f>'1BASE'!F82</f>
        <v>2</v>
      </c>
      <c r="I82" s="24">
        <f>'1BASE'!G82</f>
        <v>0</v>
      </c>
      <c r="J82" s="24">
        <f>'1BASE'!H82</f>
        <v>0</v>
      </c>
      <c r="K82" s="24"/>
      <c r="L82" s="24"/>
      <c r="M82" s="24"/>
      <c r="N82" s="24"/>
      <c r="O82" s="24"/>
      <c r="P82" s="24"/>
      <c r="Q82" s="24"/>
      <c r="R82" s="24"/>
      <c r="S82" s="5"/>
      <c r="T82" s="5"/>
      <c r="U82" s="1" t="s">
        <v>96</v>
      </c>
      <c r="V82" s="11">
        <v>0.05</v>
      </c>
      <c r="W82" s="1">
        <f>+INICIO!$C$34</f>
        <v>2014</v>
      </c>
      <c r="X82" s="1" t="str">
        <f>+INICIO!$B$32</f>
        <v>LATIFOLIADO</v>
      </c>
      <c r="Y82" s="50" t="str">
        <f t="shared" si="8"/>
        <v>DEJAR</v>
      </c>
      <c r="Z82" s="50" t="str">
        <f t="shared" si="9"/>
        <v>DEJAR</v>
      </c>
      <c r="AA82" s="50" t="str">
        <f t="shared" si="10"/>
        <v>DEJAR</v>
      </c>
      <c r="AB82" s="50" t="str">
        <f t="shared" si="11"/>
        <v>DEJAR</v>
      </c>
      <c r="AC82" s="52">
        <f t="shared" si="12"/>
        <v>2.1382464998495533E-2</v>
      </c>
      <c r="AD82" s="52">
        <f t="shared" si="13"/>
        <v>0.42764929996991063</v>
      </c>
      <c r="AE82" s="52">
        <f>+IF(X82=INICIO!$B$31,0.15991*D82^2.32764,AND(X82=INICIO!$B$32)*0.13657*D82^2.38351)</f>
        <v>108.95331919183752</v>
      </c>
      <c r="AF82" s="52">
        <f t="shared" si="14"/>
        <v>2179.0663838367504</v>
      </c>
      <c r="AG82" s="52">
        <f>+AE82/1000*INICIO!$D$50</f>
        <v>5.1208060020163634E-2</v>
      </c>
      <c r="AH82" s="52">
        <f>+AF82/1000*INICIO!$D$50</f>
        <v>1.0241612004032727</v>
      </c>
      <c r="AI82" s="55">
        <f>+IF(X82=INICIO!$B$31,IF(D82&lt;=82,0.15991*D82^2.32764, 0.15991*82^2.32764),AND(X82=INICIO!$B$32)*IF(D82&lt;=79.9,0.13657*D82^2.38351,0.13657*79.9^2.38351))</f>
        <v>108.95331919183752</v>
      </c>
      <c r="AJ82" s="56">
        <f t="shared" si="15"/>
        <v>2179.0663838367504</v>
      </c>
      <c r="AK82" s="56">
        <f>+AI82/1000*INICIO!$D$50</f>
        <v>5.1208060020163634E-2</v>
      </c>
      <c r="AL82" s="56">
        <f>+AJ82/1000*INICIO!$D$50</f>
        <v>1.0241612004032727</v>
      </c>
      <c r="AM82" s="57" t="str">
        <f>+INICIO!$C$30</f>
        <v>UVG_B_Kg</v>
      </c>
    </row>
    <row r="83" spans="1:39" ht="15" x14ac:dyDescent="0.25">
      <c r="A83" s="24">
        <v>8</v>
      </c>
      <c r="B83" s="25">
        <f>'1BASE'!A83</f>
        <v>12</v>
      </c>
      <c r="C83" s="24" t="str">
        <f>'1BASE'!B83</f>
        <v>Cedrillo</v>
      </c>
      <c r="D83" s="26">
        <f>'1BASE'!C83</f>
        <v>22.8</v>
      </c>
      <c r="E83" s="27">
        <f>'1BASE'!D83</f>
        <v>0</v>
      </c>
      <c r="F83" s="27">
        <f>'1BASE'!E83</f>
        <v>0</v>
      </c>
      <c r="G83" s="27"/>
      <c r="H83" s="26">
        <f>'1BASE'!F83</f>
        <v>5</v>
      </c>
      <c r="I83" s="24">
        <f>'1BASE'!G83</f>
        <v>0</v>
      </c>
      <c r="J83" s="24">
        <f>'1BASE'!H83</f>
        <v>0</v>
      </c>
      <c r="K83" s="24"/>
      <c r="L83" s="24"/>
      <c r="M83" s="24"/>
      <c r="N83" s="24"/>
      <c r="O83" s="24"/>
      <c r="P83" s="24"/>
      <c r="Q83" s="24"/>
      <c r="R83" s="24"/>
      <c r="S83" s="5"/>
      <c r="T83" s="5"/>
      <c r="U83" s="1" t="s">
        <v>96</v>
      </c>
      <c r="V83" s="11">
        <v>0.05</v>
      </c>
      <c r="W83" s="1">
        <f>+INICIO!$C$34</f>
        <v>2014</v>
      </c>
      <c r="X83" s="1" t="str">
        <f>+INICIO!$B$32</f>
        <v>LATIFOLIADO</v>
      </c>
      <c r="Y83" s="50" t="str">
        <f t="shared" si="8"/>
        <v>DEJAR</v>
      </c>
      <c r="Z83" s="50" t="str">
        <f t="shared" si="9"/>
        <v>DEJAR</v>
      </c>
      <c r="AA83" s="50" t="str">
        <f t="shared" si="10"/>
        <v>DEJAR</v>
      </c>
      <c r="AB83" s="50" t="str">
        <f t="shared" si="11"/>
        <v>DEJAR</v>
      </c>
      <c r="AC83" s="52">
        <f t="shared" si="12"/>
        <v>4.0828138126052953E-2</v>
      </c>
      <c r="AD83" s="52">
        <f t="shared" si="13"/>
        <v>0.81656276252105897</v>
      </c>
      <c r="AE83" s="52">
        <f>+IF(X83=INICIO!$B$31,0.15991*D83^2.32764,AND(X83=INICIO!$B$32)*0.13657*D83^2.38351)</f>
        <v>235.50850554664373</v>
      </c>
      <c r="AF83" s="52">
        <f t="shared" si="14"/>
        <v>4710.1701109328742</v>
      </c>
      <c r="AG83" s="52">
        <f>+AE83/1000*INICIO!$D$50</f>
        <v>0.11068899760692255</v>
      </c>
      <c r="AH83" s="52">
        <f>+AF83/1000*INICIO!$D$50</f>
        <v>2.2137799521384509</v>
      </c>
      <c r="AI83" s="55">
        <f>+IF(X83=INICIO!$B$31,IF(D83&lt;=82,0.15991*D83^2.32764, 0.15991*82^2.32764),AND(X83=INICIO!$B$32)*IF(D83&lt;=79.9,0.13657*D83^2.38351,0.13657*79.9^2.38351))</f>
        <v>235.50850554664373</v>
      </c>
      <c r="AJ83" s="56">
        <f t="shared" si="15"/>
        <v>4710.1701109328742</v>
      </c>
      <c r="AK83" s="56">
        <f>+AI83/1000*INICIO!$D$50</f>
        <v>0.11068899760692255</v>
      </c>
      <c r="AL83" s="56">
        <f>+AJ83/1000*INICIO!$D$50</f>
        <v>2.2137799521384509</v>
      </c>
      <c r="AM83" s="57" t="str">
        <f>+INICIO!$C$30</f>
        <v>UVG_B_Kg</v>
      </c>
    </row>
    <row r="84" spans="1:39" ht="15" x14ac:dyDescent="0.25">
      <c r="A84" s="24">
        <v>8</v>
      </c>
      <c r="B84" s="25">
        <f>'1BASE'!A84</f>
        <v>13</v>
      </c>
      <c r="C84" s="24">
        <f>'1BASE'!B84</f>
        <v>0</v>
      </c>
      <c r="D84" s="26">
        <f>'1BASE'!C84</f>
        <v>11</v>
      </c>
      <c r="E84" s="27">
        <f>'1BASE'!D84</f>
        <v>0</v>
      </c>
      <c r="F84" s="27">
        <f>'1BASE'!E84</f>
        <v>0</v>
      </c>
      <c r="G84" s="27"/>
      <c r="H84" s="26">
        <f>'1BASE'!F84</f>
        <v>2</v>
      </c>
      <c r="I84" s="24">
        <f>'1BASE'!G84</f>
        <v>0</v>
      </c>
      <c r="J84" s="24">
        <f>'1BASE'!H84</f>
        <v>0</v>
      </c>
      <c r="K84" s="24"/>
      <c r="L84" s="24"/>
      <c r="M84" s="24"/>
      <c r="N84" s="24"/>
      <c r="O84" s="24"/>
      <c r="P84" s="24"/>
      <c r="Q84" s="24"/>
      <c r="R84" s="24"/>
      <c r="S84" s="5"/>
      <c r="T84" s="5"/>
      <c r="U84" s="1" t="s">
        <v>96</v>
      </c>
      <c r="V84" s="11">
        <v>0.05</v>
      </c>
      <c r="W84" s="1">
        <f>+INICIO!$C$34</f>
        <v>2014</v>
      </c>
      <c r="X84" s="1" t="str">
        <f>+INICIO!$B$32</f>
        <v>LATIFOLIADO</v>
      </c>
      <c r="Y84" s="50" t="str">
        <f t="shared" si="8"/>
        <v>DEJAR</v>
      </c>
      <c r="Z84" s="50" t="str">
        <f t="shared" si="9"/>
        <v>DEJAR</v>
      </c>
      <c r="AA84" s="50" t="str">
        <f t="shared" si="10"/>
        <v>DEJAR</v>
      </c>
      <c r="AB84" s="50" t="str">
        <f t="shared" si="11"/>
        <v>DEJAR</v>
      </c>
      <c r="AC84" s="52">
        <f t="shared" si="12"/>
        <v>9.5033177771091243E-3</v>
      </c>
      <c r="AD84" s="52">
        <f t="shared" si="13"/>
        <v>0.19006635554218249</v>
      </c>
      <c r="AE84" s="52">
        <f>+IF(X84=INICIO!$B$31,0.15991*D84^2.32764,AND(X84=INICIO!$B$32)*0.13657*D84^2.38351)</f>
        <v>41.450062373780455</v>
      </c>
      <c r="AF84" s="52">
        <f t="shared" si="14"/>
        <v>829.00124747560903</v>
      </c>
      <c r="AG84" s="52">
        <f>+AE84/1000*INICIO!$D$50</f>
        <v>1.9481529315676812E-2</v>
      </c>
      <c r="AH84" s="52">
        <f>+AF84/1000*INICIO!$D$50</f>
        <v>0.3896305863135362</v>
      </c>
      <c r="AI84" s="55">
        <f>+IF(X84=INICIO!$B$31,IF(D84&lt;=82,0.15991*D84^2.32764, 0.15991*82^2.32764),AND(X84=INICIO!$B$32)*IF(D84&lt;=79.9,0.13657*D84^2.38351,0.13657*79.9^2.38351))</f>
        <v>41.450062373780455</v>
      </c>
      <c r="AJ84" s="56">
        <f t="shared" si="15"/>
        <v>829.00124747560903</v>
      </c>
      <c r="AK84" s="56">
        <f>+AI84/1000*INICIO!$D$50</f>
        <v>1.9481529315676812E-2</v>
      </c>
      <c r="AL84" s="56">
        <f>+AJ84/1000*INICIO!$D$50</f>
        <v>0.3896305863135362</v>
      </c>
      <c r="AM84" s="57" t="str">
        <f>+INICIO!$C$30</f>
        <v>UVG_B_Kg</v>
      </c>
    </row>
    <row r="85" spans="1:39" ht="15" x14ac:dyDescent="0.25">
      <c r="A85" s="24">
        <v>8</v>
      </c>
      <c r="B85" s="25">
        <f>'1BASE'!A85</f>
        <v>14</v>
      </c>
      <c r="C85" s="24">
        <f>'1BASE'!B85</f>
        <v>0</v>
      </c>
      <c r="D85" s="26">
        <f>'1BASE'!C85</f>
        <v>26.1</v>
      </c>
      <c r="E85" s="27">
        <f>'1BASE'!D85</f>
        <v>32</v>
      </c>
      <c r="F85" s="27">
        <f>'1BASE'!E85</f>
        <v>60</v>
      </c>
      <c r="G85" s="27">
        <f>(TAN(RADIANS(E85))*20)+(TAN(RADIANS(F85))*20)</f>
        <v>47.138403189564087</v>
      </c>
      <c r="H85" s="26">
        <f>'1BASE'!F85</f>
        <v>5.5</v>
      </c>
      <c r="I85" s="24">
        <f>'1BASE'!G85</f>
        <v>0</v>
      </c>
      <c r="J85" s="24">
        <f>'1BASE'!H85</f>
        <v>0</v>
      </c>
      <c r="K85" s="24"/>
      <c r="L85" s="24"/>
      <c r="M85" s="24"/>
      <c r="N85" s="24"/>
      <c r="O85" s="24"/>
      <c r="P85" s="24"/>
      <c r="Q85" s="24"/>
      <c r="R85" s="24"/>
      <c r="S85" s="5"/>
      <c r="T85" s="5"/>
      <c r="U85" s="1" t="s">
        <v>96</v>
      </c>
      <c r="V85" s="11">
        <v>0.05</v>
      </c>
      <c r="W85" s="1">
        <f>+INICIO!$C$34</f>
        <v>2014</v>
      </c>
      <c r="X85" s="1" t="str">
        <f>+INICIO!$B$32</f>
        <v>LATIFOLIADO</v>
      </c>
      <c r="Y85" s="50" t="str">
        <f t="shared" si="8"/>
        <v>DEJAR</v>
      </c>
      <c r="Z85" s="50" t="str">
        <f t="shared" si="9"/>
        <v>DEJAR</v>
      </c>
      <c r="AA85" s="50" t="str">
        <f t="shared" si="10"/>
        <v>DEJAR</v>
      </c>
      <c r="AB85" s="50" t="str">
        <f t="shared" si="11"/>
        <v>DEJAR</v>
      </c>
      <c r="AC85" s="52">
        <f t="shared" si="12"/>
        <v>5.3502108288797576E-2</v>
      </c>
      <c r="AD85" s="52">
        <f t="shared" si="13"/>
        <v>1.0700421657759513</v>
      </c>
      <c r="AE85" s="52">
        <f>+IF(X85=INICIO!$B$31,0.15991*D85^2.32764,AND(X85=INICIO!$B$32)*0.13657*D85^2.38351)</f>
        <v>325.03649416483495</v>
      </c>
      <c r="AF85" s="52">
        <f t="shared" si="14"/>
        <v>6500.729883296699</v>
      </c>
      <c r="AG85" s="52">
        <f>+AE85/1000*INICIO!$D$50</f>
        <v>0.15276715225747242</v>
      </c>
      <c r="AH85" s="52">
        <f>+AF85/1000*INICIO!$D$50</f>
        <v>3.0553430451494483</v>
      </c>
      <c r="AI85" s="55">
        <f>+IF(X85=INICIO!$B$31,IF(D85&lt;=82,0.15991*D85^2.32764, 0.15991*82^2.32764),AND(X85=INICIO!$B$32)*IF(D85&lt;=79.9,0.13657*D85^2.38351,0.13657*79.9^2.38351))</f>
        <v>325.03649416483495</v>
      </c>
      <c r="AJ85" s="56">
        <f t="shared" si="15"/>
        <v>6500.729883296699</v>
      </c>
      <c r="AK85" s="56">
        <f>+AI85/1000*INICIO!$D$50</f>
        <v>0.15276715225747242</v>
      </c>
      <c r="AL85" s="56">
        <f>+AJ85/1000*INICIO!$D$50</f>
        <v>3.0553430451494483</v>
      </c>
      <c r="AM85" s="57" t="str">
        <f>+INICIO!$C$30</f>
        <v>UVG_B_Kg</v>
      </c>
    </row>
    <row r="86" spans="1:39" ht="15" x14ac:dyDescent="0.25">
      <c r="A86" s="24">
        <v>8</v>
      </c>
      <c r="B86" s="25">
        <f>'1BASE'!A86</f>
        <v>15</v>
      </c>
      <c r="C86" s="24">
        <f>'1BASE'!B86</f>
        <v>0</v>
      </c>
      <c r="D86" s="26">
        <f>'1BASE'!C86</f>
        <v>38.200000000000003</v>
      </c>
      <c r="E86" s="27">
        <f>'1BASE'!D86</f>
        <v>0</v>
      </c>
      <c r="F86" s="27">
        <f>'1BASE'!E86</f>
        <v>0</v>
      </c>
      <c r="G86" s="24"/>
      <c r="H86" s="26">
        <f>'1BASE'!F86</f>
        <v>5.5</v>
      </c>
      <c r="I86" s="24">
        <f>'1BASE'!G86</f>
        <v>0</v>
      </c>
      <c r="J86" s="24">
        <f>'1BASE'!H86</f>
        <v>0</v>
      </c>
      <c r="K86" s="24"/>
      <c r="L86" s="24"/>
      <c r="M86" s="24"/>
      <c r="N86" s="24"/>
      <c r="O86" s="24"/>
      <c r="P86" s="24"/>
      <c r="Q86" s="24"/>
      <c r="R86" s="24"/>
      <c r="S86" s="5"/>
      <c r="T86" s="5"/>
      <c r="U86" s="1" t="s">
        <v>96</v>
      </c>
      <c r="V86" s="11">
        <v>0.05</v>
      </c>
      <c r="W86" s="1">
        <f>+INICIO!$C$34</f>
        <v>2014</v>
      </c>
      <c r="X86" s="1" t="str">
        <f>+INICIO!$B$32</f>
        <v>LATIFOLIADO</v>
      </c>
      <c r="Y86" s="50" t="str">
        <f t="shared" si="8"/>
        <v>DEJAR</v>
      </c>
      <c r="Z86" s="50" t="str">
        <f t="shared" si="9"/>
        <v>DEJAR</v>
      </c>
      <c r="AA86" s="50" t="str">
        <f t="shared" si="10"/>
        <v>DEJAR</v>
      </c>
      <c r="AB86" s="50" t="str">
        <f t="shared" si="11"/>
        <v>DEJAR</v>
      </c>
      <c r="AC86" s="52">
        <f t="shared" si="12"/>
        <v>0.11460844159560925</v>
      </c>
      <c r="AD86" s="52">
        <f t="shared" si="13"/>
        <v>2.2921688319121847</v>
      </c>
      <c r="AE86" s="52">
        <f>+IF(X86=INICIO!$B$31,0.15991*D86^2.32764,AND(X86=INICIO!$B$32)*0.13657*D86^2.38351)</f>
        <v>805.78495727952361</v>
      </c>
      <c r="AF86" s="52">
        <f t="shared" si="14"/>
        <v>16115.699145590472</v>
      </c>
      <c r="AG86" s="52">
        <f>+AE86/1000*INICIO!$D$50</f>
        <v>0.37871892992137607</v>
      </c>
      <c r="AH86" s="52">
        <f>+AF86/1000*INICIO!$D$50</f>
        <v>7.5743785984275211</v>
      </c>
      <c r="AI86" s="55">
        <f>+IF(X86=INICIO!$B$31,IF(D86&lt;=82,0.15991*D86^2.32764, 0.15991*82^2.32764),AND(X86=INICIO!$B$32)*IF(D86&lt;=79.9,0.13657*D86^2.38351,0.13657*79.9^2.38351))</f>
        <v>805.78495727952361</v>
      </c>
      <c r="AJ86" s="56">
        <f t="shared" si="15"/>
        <v>16115.699145590472</v>
      </c>
      <c r="AK86" s="56">
        <f>+AI86/1000*INICIO!$D$50</f>
        <v>0.37871892992137607</v>
      </c>
      <c r="AL86" s="56">
        <f>+AJ86/1000*INICIO!$D$50</f>
        <v>7.5743785984275211</v>
      </c>
      <c r="AM86" s="57" t="str">
        <f>+INICIO!$C$30</f>
        <v>UVG_B_Kg</v>
      </c>
    </row>
    <row r="87" spans="1:39" ht="15" x14ac:dyDescent="0.25">
      <c r="A87" s="24">
        <v>8</v>
      </c>
      <c r="B87" s="29">
        <f>'1BASE'!A87</f>
        <v>16</v>
      </c>
      <c r="C87" s="30">
        <f>'1BASE'!B87</f>
        <v>0</v>
      </c>
      <c r="D87" s="26">
        <f>'1BASE'!C87</f>
        <v>69.2</v>
      </c>
      <c r="E87" s="27">
        <f>'1BASE'!D87</f>
        <v>0</v>
      </c>
      <c r="F87" s="27">
        <f>'1BASE'!E87</f>
        <v>0</v>
      </c>
      <c r="G87" s="30"/>
      <c r="H87" s="26">
        <f>'1BASE'!F87</f>
        <v>8.5</v>
      </c>
      <c r="I87" s="24">
        <f>'1BASE'!G87</f>
        <v>0</v>
      </c>
      <c r="J87" s="24">
        <f>'1BASE'!H87</f>
        <v>0</v>
      </c>
      <c r="K87" s="24"/>
      <c r="L87" s="24"/>
      <c r="M87" s="24"/>
      <c r="N87" s="24"/>
      <c r="O87" s="24"/>
      <c r="P87" s="24"/>
      <c r="Q87" s="24"/>
      <c r="R87" s="24"/>
      <c r="S87" s="5"/>
      <c r="T87" s="5"/>
      <c r="U87" s="1" t="s">
        <v>96</v>
      </c>
      <c r="V87" s="11">
        <v>0.05</v>
      </c>
      <c r="W87" s="1">
        <f>+INICIO!$C$34</f>
        <v>2014</v>
      </c>
      <c r="X87" s="1" t="str">
        <f>+INICIO!$B$32</f>
        <v>LATIFOLIADO</v>
      </c>
      <c r="Y87" s="50" t="str">
        <f t="shared" si="8"/>
        <v>DEJAR</v>
      </c>
      <c r="Z87" s="50" t="str">
        <f t="shared" si="9"/>
        <v>DEJAR</v>
      </c>
      <c r="AA87" s="50" t="str">
        <f t="shared" si="10"/>
        <v>DEJAR</v>
      </c>
      <c r="AB87" s="50" t="str">
        <f t="shared" si="11"/>
        <v>DEJAR</v>
      </c>
      <c r="AC87" s="52">
        <f t="shared" si="12"/>
        <v>0.37609890611715574</v>
      </c>
      <c r="AD87" s="52">
        <f t="shared" si="13"/>
        <v>7.5219781223431141</v>
      </c>
      <c r="AE87" s="52">
        <f>+IF(X87=INICIO!$B$31,0.15991*D87^2.32764,AND(X87=INICIO!$B$32)*0.13657*D87^2.38351)</f>
        <v>3320.9824963950955</v>
      </c>
      <c r="AF87" s="52">
        <f t="shared" si="14"/>
        <v>66419.649927901904</v>
      </c>
      <c r="AG87" s="52">
        <f>+AE87/1000*INICIO!$D$50</f>
        <v>1.5608617733056949</v>
      </c>
      <c r="AH87" s="52">
        <f>+AF87/1000*INICIO!$D$50</f>
        <v>31.217235466113891</v>
      </c>
      <c r="AI87" s="55">
        <f>+IF(X87=INICIO!$B$31,IF(D87&lt;=82,0.15991*D87^2.32764, 0.15991*82^2.32764),AND(X87=INICIO!$B$32)*IF(D87&lt;=79.9,0.13657*D87^2.38351,0.13657*79.9^2.38351))</f>
        <v>3320.9824963950955</v>
      </c>
      <c r="AJ87" s="56">
        <f t="shared" si="15"/>
        <v>66419.649927901904</v>
      </c>
      <c r="AK87" s="56">
        <f>+AI87/1000*INICIO!$D$50</f>
        <v>1.5608617733056949</v>
      </c>
      <c r="AL87" s="56">
        <f>+AJ87/1000*INICIO!$D$50</f>
        <v>31.217235466113891</v>
      </c>
      <c r="AM87" s="57" t="str">
        <f>+INICIO!$C$30</f>
        <v>UVG_B_Kg</v>
      </c>
    </row>
    <row r="88" spans="1:39" ht="15" x14ac:dyDescent="0.25">
      <c r="A88" s="24">
        <v>9</v>
      </c>
      <c r="B88" s="25">
        <f>'1BASE'!A88</f>
        <v>1</v>
      </c>
      <c r="C88" s="24">
        <f>'1BASE'!B88</f>
        <v>0</v>
      </c>
      <c r="D88" s="26">
        <f>'1BASE'!C88</f>
        <v>18.899999999999999</v>
      </c>
      <c r="E88" s="27">
        <f>'1BASE'!D88</f>
        <v>40</v>
      </c>
      <c r="F88" s="27">
        <f>'1BASE'!E88</f>
        <v>60</v>
      </c>
      <c r="G88" s="27">
        <f>(TAN(RADIANS(E88))*20)+(TAN(RADIANS(F88))*20)</f>
        <v>51.423008774923133</v>
      </c>
      <c r="H88" s="26">
        <f>'1BASE'!F88</f>
        <v>3</v>
      </c>
      <c r="I88" s="22" t="str">
        <f>'1BASE'!G88</f>
        <v>X</v>
      </c>
      <c r="J88" s="22" t="str">
        <f>'1BASE'!H88</f>
        <v>Y</v>
      </c>
      <c r="K88" s="24"/>
      <c r="L88" s="24"/>
      <c r="M88" s="24"/>
      <c r="N88" s="24"/>
      <c r="O88" s="24"/>
      <c r="P88" s="24"/>
      <c r="Q88" s="24"/>
      <c r="R88" s="24"/>
      <c r="S88" s="5"/>
      <c r="T88" s="5"/>
      <c r="U88" s="1" t="s">
        <v>96</v>
      </c>
      <c r="V88" s="11">
        <v>0.05</v>
      </c>
      <c r="W88" s="1">
        <f>+INICIO!$C$34</f>
        <v>2014</v>
      </c>
      <c r="X88" s="1" t="str">
        <f>+INICIO!$B$32</f>
        <v>LATIFOLIADO</v>
      </c>
      <c r="Y88" s="50" t="str">
        <f t="shared" si="8"/>
        <v>DEJAR</v>
      </c>
      <c r="Z88" s="50" t="str">
        <f t="shared" si="9"/>
        <v>DEJAR</v>
      </c>
      <c r="AA88" s="50" t="str">
        <f t="shared" si="10"/>
        <v>DEJAR</v>
      </c>
      <c r="AB88" s="50" t="str">
        <f t="shared" si="11"/>
        <v>DEJAR</v>
      </c>
      <c r="AC88" s="52">
        <f t="shared" si="12"/>
        <v>2.805520779472024E-2</v>
      </c>
      <c r="AD88" s="52">
        <f t="shared" si="13"/>
        <v>0.56110415589440477</v>
      </c>
      <c r="AE88" s="52">
        <f>+IF(X88=INICIO!$B$31,0.15991*D88^2.32764,AND(X88=INICIO!$B$32)*0.13657*D88^2.38351)</f>
        <v>150.59646729750378</v>
      </c>
      <c r="AF88" s="52">
        <f t="shared" si="14"/>
        <v>3011.9293459500755</v>
      </c>
      <c r="AG88" s="52">
        <f>+AE88/1000*INICIO!$D$50</f>
        <v>7.0780339629826772E-2</v>
      </c>
      <c r="AH88" s="52">
        <f>+AF88/1000*INICIO!$D$50</f>
        <v>1.4156067925965354</v>
      </c>
      <c r="AI88" s="55">
        <f>+IF(X88=INICIO!$B$31,IF(D88&lt;=82,0.15991*D88^2.32764, 0.15991*82^2.32764),AND(X88=INICIO!$B$32)*IF(D88&lt;=79.9,0.13657*D88^2.38351,0.13657*79.9^2.38351))</f>
        <v>150.59646729750378</v>
      </c>
      <c r="AJ88" s="56">
        <f t="shared" si="15"/>
        <v>3011.9293459500755</v>
      </c>
      <c r="AK88" s="56">
        <f>+AI88/1000*INICIO!$D$50</f>
        <v>7.0780339629826772E-2</v>
      </c>
      <c r="AL88" s="56">
        <f>+AJ88/1000*INICIO!$D$50</f>
        <v>1.4156067925965354</v>
      </c>
      <c r="AM88" s="57" t="str">
        <f>+INICIO!$C$30</f>
        <v>UVG_B_Kg</v>
      </c>
    </row>
    <row r="89" spans="1:39" ht="15" x14ac:dyDescent="0.25">
      <c r="A89" s="24">
        <v>9</v>
      </c>
      <c r="B89" s="25">
        <f>'1BASE'!A89</f>
        <v>2</v>
      </c>
      <c r="C89" s="24">
        <f>'1BASE'!B89</f>
        <v>0</v>
      </c>
      <c r="D89" s="26">
        <f>'1BASE'!C89</f>
        <v>16</v>
      </c>
      <c r="E89" s="27">
        <f>'1BASE'!D89</f>
        <v>20</v>
      </c>
      <c r="F89" s="27">
        <f>'1BASE'!E89</f>
        <v>140</v>
      </c>
      <c r="G89" s="32">
        <f>(TAN(RADIANS(E89))*20)+(TAN(RADIANS(F89))*20)</f>
        <v>-9.5025879382215628</v>
      </c>
      <c r="H89" s="26">
        <f>'1BASE'!F89</f>
        <v>2.25</v>
      </c>
      <c r="I89" s="22" t="str">
        <f>'1BASE'!G89</f>
        <v>88° 38' 56.4''</v>
      </c>
      <c r="J89" s="22" t="str">
        <f>'1BASE'!H89</f>
        <v>15° 40' 56.8''</v>
      </c>
      <c r="K89" s="24" t="str">
        <f>LEFT(I89,2)</f>
        <v>88</v>
      </c>
      <c r="L89" s="24" t="str">
        <f>+LEFT(RIGHT(I89,10),2)</f>
        <v>38</v>
      </c>
      <c r="M89" s="24" t="str">
        <f>+LEFT(RIGHT(I89,6),4)</f>
        <v>56.4</v>
      </c>
      <c r="N89" s="24">
        <f>(K89+((L89+(M89/60)/60)/60))*-1</f>
        <v>-88.633594444444441</v>
      </c>
      <c r="O89" s="24" t="str">
        <f>LEFT(J89,2)</f>
        <v>15</v>
      </c>
      <c r="P89" s="24" t="str">
        <f>+LEFT(RIGHT(J89,10),2)</f>
        <v>40</v>
      </c>
      <c r="Q89" s="24" t="str">
        <f>+LEFT(RIGHT(J89,6),4)</f>
        <v>56.8</v>
      </c>
      <c r="R89" s="24">
        <f>O89+((P89+(Q89/60)/60)/60)</f>
        <v>15.66692962962963</v>
      </c>
      <c r="S89" s="11">
        <v>700087.55756900006</v>
      </c>
      <c r="T89" s="11">
        <v>1733320.3914699999</v>
      </c>
      <c r="U89" s="1" t="s">
        <v>96</v>
      </c>
      <c r="V89" s="11">
        <v>0.05</v>
      </c>
      <c r="W89" s="1">
        <f>+INICIO!$C$34</f>
        <v>2014</v>
      </c>
      <c r="X89" s="1" t="str">
        <f>+INICIO!$B$32</f>
        <v>LATIFOLIADO</v>
      </c>
      <c r="Y89" s="50" t="str">
        <f t="shared" si="8"/>
        <v>DEJAR</v>
      </c>
      <c r="Z89" s="50" t="str">
        <f t="shared" si="9"/>
        <v>DEJAR</v>
      </c>
      <c r="AA89" s="50" t="str">
        <f t="shared" si="10"/>
        <v>DEJAR</v>
      </c>
      <c r="AB89" s="50" t="str">
        <f t="shared" si="11"/>
        <v>DEJAR</v>
      </c>
      <c r="AC89" s="52">
        <f t="shared" si="12"/>
        <v>2.0106192982974676E-2</v>
      </c>
      <c r="AD89" s="52">
        <f t="shared" si="13"/>
        <v>0.40212385965949349</v>
      </c>
      <c r="AE89" s="52">
        <f>+IF(X89=INICIO!$B$31,0.15991*D89^2.32764,AND(X89=INICIO!$B$32)*0.13657*D89^2.38351)</f>
        <v>101.24820425273758</v>
      </c>
      <c r="AF89" s="52">
        <f t="shared" si="14"/>
        <v>2024.9640850547514</v>
      </c>
      <c r="AG89" s="52">
        <f>+AE89/1000*INICIO!$D$50</f>
        <v>4.7586655998786656E-2</v>
      </c>
      <c r="AH89" s="52">
        <f>+AF89/1000*INICIO!$D$50</f>
        <v>0.95173311997573318</v>
      </c>
      <c r="AI89" s="55">
        <f>+IF(X89=INICIO!$B$31,IF(D89&lt;=82,0.15991*D89^2.32764, 0.15991*82^2.32764),AND(X89=INICIO!$B$32)*IF(D89&lt;=79.9,0.13657*D89^2.38351,0.13657*79.9^2.38351))</f>
        <v>101.24820425273758</v>
      </c>
      <c r="AJ89" s="56">
        <f t="shared" si="15"/>
        <v>2024.9640850547514</v>
      </c>
      <c r="AK89" s="56">
        <f>+AI89/1000*INICIO!$D$50</f>
        <v>4.7586655998786656E-2</v>
      </c>
      <c r="AL89" s="56">
        <f>+AJ89/1000*INICIO!$D$50</f>
        <v>0.95173311997573318</v>
      </c>
      <c r="AM89" s="57" t="str">
        <f>+INICIO!$C$30</f>
        <v>UVG_B_Kg</v>
      </c>
    </row>
    <row r="90" spans="1:39" ht="15" x14ac:dyDescent="0.25">
      <c r="A90" s="24">
        <v>9</v>
      </c>
      <c r="B90" s="25">
        <f>'1BASE'!A90</f>
        <v>3</v>
      </c>
      <c r="C90" s="24">
        <f>'1BASE'!B90</f>
        <v>0</v>
      </c>
      <c r="D90" s="26">
        <f>'1BASE'!C90</f>
        <v>39</v>
      </c>
      <c r="E90" s="27">
        <f>'1BASE'!D90</f>
        <v>0</v>
      </c>
      <c r="F90" s="27">
        <f>'1BASE'!E90</f>
        <v>0</v>
      </c>
      <c r="G90" s="27"/>
      <c r="H90" s="26">
        <f>'1BASE'!F90</f>
        <v>4.5</v>
      </c>
      <c r="I90" s="24">
        <f>'1BASE'!G90</f>
        <v>0</v>
      </c>
      <c r="J90" s="24">
        <f>'1BASE'!H90</f>
        <v>0</v>
      </c>
      <c r="K90" s="24"/>
      <c r="L90" s="24"/>
      <c r="M90" s="24"/>
      <c r="N90" s="24"/>
      <c r="O90" s="24"/>
      <c r="P90" s="24"/>
      <c r="Q90" s="24"/>
      <c r="R90" s="24"/>
      <c r="S90" s="5"/>
      <c r="T90" s="5"/>
      <c r="U90" s="1" t="s">
        <v>96</v>
      </c>
      <c r="V90" s="11">
        <v>0.05</v>
      </c>
      <c r="W90" s="1">
        <f>+INICIO!$C$34</f>
        <v>2014</v>
      </c>
      <c r="X90" s="1" t="str">
        <f>+INICIO!$B$32</f>
        <v>LATIFOLIADO</v>
      </c>
      <c r="Y90" s="50" t="str">
        <f t="shared" si="8"/>
        <v>DEJAR</v>
      </c>
      <c r="Z90" s="50" t="str">
        <f t="shared" si="9"/>
        <v>DEJAR</v>
      </c>
      <c r="AA90" s="50" t="str">
        <f t="shared" si="10"/>
        <v>DEJAR</v>
      </c>
      <c r="AB90" s="50" t="str">
        <f t="shared" si="11"/>
        <v>DEJAR</v>
      </c>
      <c r="AC90" s="52">
        <f t="shared" si="12"/>
        <v>0.1194590606527519</v>
      </c>
      <c r="AD90" s="52">
        <f t="shared" si="13"/>
        <v>2.3891812130550378</v>
      </c>
      <c r="AE90" s="52">
        <f>+IF(X90=INICIO!$B$31,0.15991*D90^2.32764,AND(X90=INICIO!$B$32)*0.13657*D90^2.38351)</f>
        <v>846.59112411251863</v>
      </c>
      <c r="AF90" s="52">
        <f t="shared" si="14"/>
        <v>16931.822482250373</v>
      </c>
      <c r="AG90" s="52">
        <f>+AE90/1000*INICIO!$D$50</f>
        <v>0.39789782833288373</v>
      </c>
      <c r="AH90" s="52">
        <f>+AF90/1000*INICIO!$D$50</f>
        <v>7.9579565666576739</v>
      </c>
      <c r="AI90" s="55">
        <f>+IF(X90=INICIO!$B$31,IF(D90&lt;=82,0.15991*D90^2.32764, 0.15991*82^2.32764),AND(X90=INICIO!$B$32)*IF(D90&lt;=79.9,0.13657*D90^2.38351,0.13657*79.9^2.38351))</f>
        <v>846.59112411251863</v>
      </c>
      <c r="AJ90" s="56">
        <f t="shared" si="15"/>
        <v>16931.822482250373</v>
      </c>
      <c r="AK90" s="56">
        <f>+AI90/1000*INICIO!$D$50</f>
        <v>0.39789782833288373</v>
      </c>
      <c r="AL90" s="56">
        <f>+AJ90/1000*INICIO!$D$50</f>
        <v>7.9579565666576739</v>
      </c>
      <c r="AM90" s="57" t="str">
        <f>+INICIO!$C$30</f>
        <v>UVG_B_Kg</v>
      </c>
    </row>
    <row r="91" spans="1:39" ht="15" x14ac:dyDescent="0.25">
      <c r="A91" s="24">
        <v>9</v>
      </c>
      <c r="B91" s="25">
        <f>'1BASE'!A91</f>
        <v>4</v>
      </c>
      <c r="C91" s="24">
        <f>'1BASE'!B91</f>
        <v>0</v>
      </c>
      <c r="D91" s="26">
        <f>'1BASE'!C91</f>
        <v>144.69999999999999</v>
      </c>
      <c r="E91" s="27">
        <f>'1BASE'!D91</f>
        <v>0</v>
      </c>
      <c r="F91" s="27">
        <f>'1BASE'!E91</f>
        <v>0</v>
      </c>
      <c r="G91" s="27"/>
      <c r="H91" s="26">
        <f>'1BASE'!F91</f>
        <v>10.7</v>
      </c>
      <c r="I91" s="24">
        <f>'1BASE'!G91</f>
        <v>0</v>
      </c>
      <c r="J91" s="24">
        <f>'1BASE'!H91</f>
        <v>0</v>
      </c>
      <c r="K91" s="24"/>
      <c r="L91" s="24"/>
      <c r="M91" s="24"/>
      <c r="N91" s="24"/>
      <c r="O91" s="24"/>
      <c r="P91" s="24"/>
      <c r="Q91" s="24"/>
      <c r="R91" s="24"/>
      <c r="S91" s="5"/>
      <c r="T91" s="5"/>
      <c r="U91" s="1" t="s">
        <v>96</v>
      </c>
      <c r="V91" s="11">
        <v>0.05</v>
      </c>
      <c r="W91" s="1">
        <f>+INICIO!$C$34</f>
        <v>2014</v>
      </c>
      <c r="X91" s="1" t="str">
        <f>+INICIO!$B$32</f>
        <v>LATIFOLIADO</v>
      </c>
      <c r="Y91" s="50" t="str">
        <f t="shared" si="8"/>
        <v>DEJAR</v>
      </c>
      <c r="Z91" s="50" t="str">
        <f t="shared" si="9"/>
        <v>DEJAR</v>
      </c>
      <c r="AA91" s="50" t="str">
        <f t="shared" si="10"/>
        <v>DEJAR</v>
      </c>
      <c r="AB91" s="50" t="str">
        <f t="shared" si="11"/>
        <v>DEJAR</v>
      </c>
      <c r="AC91" s="52">
        <f t="shared" si="12"/>
        <v>1.6444737431050473</v>
      </c>
      <c r="AD91" s="52">
        <f t="shared" si="13"/>
        <v>32.889474862100947</v>
      </c>
      <c r="AE91" s="52">
        <f>+IF(X91=INICIO!$B$31,0.15991*D91^2.32764,AND(X91=INICIO!$B$32)*0.13657*D91^2.38351)</f>
        <v>19268.755144273386</v>
      </c>
      <c r="AF91" s="52">
        <f t="shared" si="14"/>
        <v>385375.1028854677</v>
      </c>
      <c r="AG91" s="52">
        <f>+AE91/1000*INICIO!$D$50</f>
        <v>9.056314917808491</v>
      </c>
      <c r="AH91" s="52">
        <f>+AF91/1000*INICIO!$D$50</f>
        <v>181.1262983561698</v>
      </c>
      <c r="AI91" s="55">
        <f>+IF(X91=INICIO!$B$31,IF(D91&lt;=82,0.15991*D91^2.32764, 0.15991*82^2.32764),AND(X91=INICIO!$B$32)*IF(D91&lt;=79.9,0.13657*D91^2.38351,0.13657*79.9^2.38351))</f>
        <v>4678.370186681871</v>
      </c>
      <c r="AJ91" s="56">
        <f t="shared" si="15"/>
        <v>93567.403733637417</v>
      </c>
      <c r="AK91" s="56">
        <f>+AI91/1000*INICIO!$D$50</f>
        <v>2.1988339877404792</v>
      </c>
      <c r="AL91" s="56">
        <f>+AJ91/1000*INICIO!$D$50</f>
        <v>43.976679754809588</v>
      </c>
      <c r="AM91" s="57" t="str">
        <f>+INICIO!$C$30</f>
        <v>UVG_B_Kg</v>
      </c>
    </row>
    <row r="92" spans="1:39" ht="15" x14ac:dyDescent="0.25">
      <c r="A92" s="24">
        <v>9</v>
      </c>
      <c r="B92" s="25">
        <f>'1BASE'!A92</f>
        <v>5</v>
      </c>
      <c r="C92" s="24" t="str">
        <f>'1BASE'!B92</f>
        <v>Lagarto</v>
      </c>
      <c r="D92" s="26">
        <f>'1BASE'!C92</f>
        <v>81.3</v>
      </c>
      <c r="E92" s="27">
        <f>'1BASE'!D92</f>
        <v>0</v>
      </c>
      <c r="F92" s="27">
        <f>'1BASE'!E92</f>
        <v>0</v>
      </c>
      <c r="G92" s="27"/>
      <c r="H92" s="26">
        <f>'1BASE'!F92</f>
        <v>12</v>
      </c>
      <c r="I92" s="24">
        <f>'1BASE'!G92</f>
        <v>0</v>
      </c>
      <c r="J92" s="24">
        <f>'1BASE'!H92</f>
        <v>0</v>
      </c>
      <c r="K92" s="24"/>
      <c r="L92" s="24"/>
      <c r="M92" s="24"/>
      <c r="N92" s="24"/>
      <c r="O92" s="24"/>
      <c r="P92" s="24"/>
      <c r="Q92" s="24"/>
      <c r="R92" s="24"/>
      <c r="S92" s="5"/>
      <c r="T92" s="5"/>
      <c r="U92" s="1" t="s">
        <v>96</v>
      </c>
      <c r="V92" s="11">
        <v>0.05</v>
      </c>
      <c r="W92" s="1">
        <f>+INICIO!$C$34</f>
        <v>2014</v>
      </c>
      <c r="X92" s="1" t="str">
        <f>+INICIO!$B$32</f>
        <v>LATIFOLIADO</v>
      </c>
      <c r="Y92" s="50" t="str">
        <f t="shared" si="8"/>
        <v>DEJAR</v>
      </c>
      <c r="Z92" s="50" t="str">
        <f t="shared" si="9"/>
        <v>DEJAR</v>
      </c>
      <c r="AA92" s="50" t="str">
        <f t="shared" si="10"/>
        <v>DEJAR</v>
      </c>
      <c r="AB92" s="50" t="str">
        <f t="shared" si="11"/>
        <v>DEJAR</v>
      </c>
      <c r="AC92" s="52">
        <f t="shared" si="12"/>
        <v>0.51912383866264789</v>
      </c>
      <c r="AD92" s="52">
        <f t="shared" si="13"/>
        <v>10.382476773252957</v>
      </c>
      <c r="AE92" s="52">
        <f>+IF(X92=INICIO!$B$31,0.15991*D92^2.32764,AND(X92=INICIO!$B$32)*0.13657*D92^2.38351)</f>
        <v>4876.1294401266787</v>
      </c>
      <c r="AF92" s="52">
        <f t="shared" si="14"/>
        <v>97522.588802533573</v>
      </c>
      <c r="AG92" s="52">
        <f>+AE92/1000*INICIO!$D$50</f>
        <v>2.2917808368595387</v>
      </c>
      <c r="AH92" s="52">
        <f>+AF92/1000*INICIO!$D$50</f>
        <v>45.835616737190776</v>
      </c>
      <c r="AI92" s="55">
        <f>+IF(X92=INICIO!$B$31,IF(D92&lt;=82,0.15991*D92^2.32764, 0.15991*82^2.32764),AND(X92=INICIO!$B$32)*IF(D92&lt;=79.9,0.13657*D92^2.38351,0.13657*79.9^2.38351))</f>
        <v>4678.370186681871</v>
      </c>
      <c r="AJ92" s="56">
        <f t="shared" si="15"/>
        <v>93567.403733637417</v>
      </c>
      <c r="AK92" s="56">
        <f>+AI92/1000*INICIO!$D$50</f>
        <v>2.1988339877404792</v>
      </c>
      <c r="AL92" s="56">
        <f>+AJ92/1000*INICIO!$D$50</f>
        <v>43.976679754809588</v>
      </c>
      <c r="AM92" s="57" t="str">
        <f>+INICIO!$C$30</f>
        <v>UVG_B_Kg</v>
      </c>
    </row>
    <row r="93" spans="1:39" ht="15" x14ac:dyDescent="0.25">
      <c r="A93" s="24">
        <v>9</v>
      </c>
      <c r="B93" s="25">
        <f>'1BASE'!A93</f>
        <v>6</v>
      </c>
      <c r="C93" s="24">
        <f>'1BASE'!B93</f>
        <v>0</v>
      </c>
      <c r="D93" s="26">
        <f>'1BASE'!C93</f>
        <v>10.6</v>
      </c>
      <c r="E93" s="27">
        <f>'1BASE'!D93</f>
        <v>0</v>
      </c>
      <c r="F93" s="27">
        <f>'1BASE'!E93</f>
        <v>0</v>
      </c>
      <c r="G93" s="27"/>
      <c r="H93" s="26">
        <f>'1BASE'!F93</f>
        <v>3.25</v>
      </c>
      <c r="I93" s="24">
        <f>'1BASE'!G93</f>
        <v>0</v>
      </c>
      <c r="J93" s="24">
        <f>'1BASE'!H93</f>
        <v>0</v>
      </c>
      <c r="K93" s="24"/>
      <c r="L93" s="24"/>
      <c r="M93" s="24"/>
      <c r="N93" s="24"/>
      <c r="O93" s="24"/>
      <c r="P93" s="24"/>
      <c r="Q93" s="24"/>
      <c r="R93" s="24"/>
      <c r="S93" s="5"/>
      <c r="T93" s="5"/>
      <c r="U93" s="1" t="s">
        <v>96</v>
      </c>
      <c r="V93" s="11">
        <v>0.05</v>
      </c>
      <c r="W93" s="1">
        <f>+INICIO!$C$34</f>
        <v>2014</v>
      </c>
      <c r="X93" s="1" t="str">
        <f>+INICIO!$B$32</f>
        <v>LATIFOLIADO</v>
      </c>
      <c r="Y93" s="50" t="str">
        <f t="shared" si="8"/>
        <v>DEJAR</v>
      </c>
      <c r="Z93" s="50" t="str">
        <f t="shared" si="9"/>
        <v>DEJAR</v>
      </c>
      <c r="AA93" s="50" t="str">
        <f t="shared" si="10"/>
        <v>DEJAR</v>
      </c>
      <c r="AB93" s="50" t="str">
        <f t="shared" si="11"/>
        <v>DEJAR</v>
      </c>
      <c r="AC93" s="52">
        <f t="shared" si="12"/>
        <v>8.8247337639337283E-3</v>
      </c>
      <c r="AD93" s="52">
        <f t="shared" si="13"/>
        <v>0.17649467527867455</v>
      </c>
      <c r="AE93" s="52">
        <f>+IF(X93=INICIO!$B$31,0.15991*D93^2.32764,AND(X93=INICIO!$B$32)*0.13657*D93^2.38351)</f>
        <v>37.947405867325628</v>
      </c>
      <c r="AF93" s="52">
        <f t="shared" si="14"/>
        <v>758.9481173465125</v>
      </c>
      <c r="AG93" s="52">
        <f>+AE93/1000*INICIO!$D$50</f>
        <v>1.7835280757643047E-2</v>
      </c>
      <c r="AH93" s="52">
        <f>+AF93/1000*INICIO!$D$50</f>
        <v>0.35670561515286081</v>
      </c>
      <c r="AI93" s="55">
        <f>+IF(X93=INICIO!$B$31,IF(D93&lt;=82,0.15991*D93^2.32764, 0.15991*82^2.32764),AND(X93=INICIO!$B$32)*IF(D93&lt;=79.9,0.13657*D93^2.38351,0.13657*79.9^2.38351))</f>
        <v>37.947405867325628</v>
      </c>
      <c r="AJ93" s="56">
        <f t="shared" si="15"/>
        <v>758.9481173465125</v>
      </c>
      <c r="AK93" s="56">
        <f>+AI93/1000*INICIO!$D$50</f>
        <v>1.7835280757643047E-2</v>
      </c>
      <c r="AL93" s="56">
        <f>+AJ93/1000*INICIO!$D$50</f>
        <v>0.35670561515286081</v>
      </c>
      <c r="AM93" s="57" t="str">
        <f>+INICIO!$C$30</f>
        <v>UVG_B_Kg</v>
      </c>
    </row>
    <row r="94" spans="1:39" ht="15" x14ac:dyDescent="0.25">
      <c r="A94" s="24">
        <v>9</v>
      </c>
      <c r="B94" s="25">
        <f>'1BASE'!A94</f>
        <v>7</v>
      </c>
      <c r="C94" s="24" t="str">
        <f>'1BASE'!B94</f>
        <v>Matapalo</v>
      </c>
      <c r="D94" s="26">
        <f>'1BASE'!C94</f>
        <v>11.6</v>
      </c>
      <c r="E94" s="27">
        <f>'1BASE'!D94</f>
        <v>0</v>
      </c>
      <c r="F94" s="27">
        <f>'1BASE'!E94</f>
        <v>0</v>
      </c>
      <c r="G94" s="27"/>
      <c r="H94" s="26">
        <f>'1BASE'!F94</f>
        <v>4</v>
      </c>
      <c r="I94" s="24">
        <f>'1BASE'!G94</f>
        <v>0</v>
      </c>
      <c r="J94" s="24">
        <f>'1BASE'!H94</f>
        <v>0</v>
      </c>
      <c r="K94" s="24"/>
      <c r="L94" s="24"/>
      <c r="M94" s="24"/>
      <c r="N94" s="24"/>
      <c r="O94" s="24"/>
      <c r="P94" s="24"/>
      <c r="Q94" s="24"/>
      <c r="R94" s="24"/>
      <c r="S94" s="5"/>
      <c r="T94" s="5"/>
      <c r="U94" s="1" t="s">
        <v>96</v>
      </c>
      <c r="V94" s="11">
        <v>0.05</v>
      </c>
      <c r="W94" s="1">
        <f>+INICIO!$C$34</f>
        <v>2014</v>
      </c>
      <c r="X94" s="1" t="str">
        <f>+INICIO!$B$32</f>
        <v>LATIFOLIADO</v>
      </c>
      <c r="Y94" s="50" t="str">
        <f t="shared" si="8"/>
        <v>DEJAR</v>
      </c>
      <c r="Z94" s="50" t="str">
        <f t="shared" si="9"/>
        <v>DEJAR</v>
      </c>
      <c r="AA94" s="50" t="str">
        <f t="shared" si="10"/>
        <v>DEJAR</v>
      </c>
      <c r="AB94" s="50" t="str">
        <f t="shared" si="11"/>
        <v>DEJAR</v>
      </c>
      <c r="AC94" s="52">
        <f t="shared" si="12"/>
        <v>1.0568317686676062E-2</v>
      </c>
      <c r="AD94" s="52">
        <f t="shared" si="13"/>
        <v>0.21136635373352122</v>
      </c>
      <c r="AE94" s="52">
        <f>+IF(X94=INICIO!$B$31,0.15991*D94^2.32764,AND(X94=INICIO!$B$32)*0.13657*D94^2.38351)</f>
        <v>47.043710780074015</v>
      </c>
      <c r="AF94" s="52">
        <f t="shared" si="14"/>
        <v>940.87421560148027</v>
      </c>
      <c r="AG94" s="52">
        <f>+AE94/1000*INICIO!$D$50</f>
        <v>2.2110544066634787E-2</v>
      </c>
      <c r="AH94" s="52">
        <f>+AF94/1000*INICIO!$D$50</f>
        <v>0.4422108813326957</v>
      </c>
      <c r="AI94" s="55">
        <f>+IF(X94=INICIO!$B$31,IF(D94&lt;=82,0.15991*D94^2.32764, 0.15991*82^2.32764),AND(X94=INICIO!$B$32)*IF(D94&lt;=79.9,0.13657*D94^2.38351,0.13657*79.9^2.38351))</f>
        <v>47.043710780074015</v>
      </c>
      <c r="AJ94" s="56">
        <f t="shared" si="15"/>
        <v>940.87421560148027</v>
      </c>
      <c r="AK94" s="56">
        <f>+AI94/1000*INICIO!$D$50</f>
        <v>2.2110544066634787E-2</v>
      </c>
      <c r="AL94" s="56">
        <f>+AJ94/1000*INICIO!$D$50</f>
        <v>0.4422108813326957</v>
      </c>
      <c r="AM94" s="57" t="str">
        <f>+INICIO!$C$30</f>
        <v>UVG_B_Kg</v>
      </c>
    </row>
    <row r="95" spans="1:39" ht="15" x14ac:dyDescent="0.25">
      <c r="A95" s="24">
        <v>9</v>
      </c>
      <c r="B95" s="25">
        <f>'1BASE'!A95</f>
        <v>8</v>
      </c>
      <c r="C95" s="24" t="str">
        <f>'1BASE'!B95</f>
        <v>Columna de cocodrilo</v>
      </c>
      <c r="D95" s="26">
        <f>'1BASE'!C95</f>
        <v>10</v>
      </c>
      <c r="E95" s="27">
        <f>'1BASE'!D95</f>
        <v>0</v>
      </c>
      <c r="F95" s="27">
        <f>'1BASE'!E95</f>
        <v>0</v>
      </c>
      <c r="G95" s="27"/>
      <c r="H95" s="26">
        <f>'1BASE'!F95</f>
        <v>4.5</v>
      </c>
      <c r="I95" s="24">
        <f>'1BASE'!G95</f>
        <v>0</v>
      </c>
      <c r="J95" s="24">
        <f>'1BASE'!H95</f>
        <v>0</v>
      </c>
      <c r="K95" s="24"/>
      <c r="L95" s="24"/>
      <c r="M95" s="24"/>
      <c r="N95" s="24"/>
      <c r="O95" s="24"/>
      <c r="P95" s="24"/>
      <c r="Q95" s="24"/>
      <c r="R95" s="24"/>
      <c r="S95" s="5"/>
      <c r="T95" s="5"/>
      <c r="U95" s="1" t="s">
        <v>96</v>
      </c>
      <c r="V95" s="11">
        <v>0.05</v>
      </c>
      <c r="W95" s="1">
        <f>+INICIO!$C$34</f>
        <v>2014</v>
      </c>
      <c r="X95" s="1" t="str">
        <f>+INICIO!$B$32</f>
        <v>LATIFOLIADO</v>
      </c>
      <c r="Y95" s="50" t="str">
        <f t="shared" si="8"/>
        <v>DEJAR</v>
      </c>
      <c r="Z95" s="50" t="str">
        <f t="shared" si="9"/>
        <v>DEJAR</v>
      </c>
      <c r="AA95" s="50" t="str">
        <f t="shared" si="10"/>
        <v>DEJAR</v>
      </c>
      <c r="AB95" s="50" t="str">
        <f t="shared" si="11"/>
        <v>DEJAR</v>
      </c>
      <c r="AC95" s="52">
        <f t="shared" si="12"/>
        <v>7.8539816339744835E-3</v>
      </c>
      <c r="AD95" s="52">
        <f t="shared" si="13"/>
        <v>0.15707963267948966</v>
      </c>
      <c r="AE95" s="52">
        <f>+IF(X95=INICIO!$B$31,0.15991*D95^2.32764,AND(X95=INICIO!$B$32)*0.13657*D95^2.38351)</f>
        <v>33.026709725455305</v>
      </c>
      <c r="AF95" s="52">
        <f t="shared" si="14"/>
        <v>660.5341945091061</v>
      </c>
      <c r="AG95" s="52">
        <f>+AE95/1000*INICIO!$D$50</f>
        <v>1.5522553570963995E-2</v>
      </c>
      <c r="AH95" s="52">
        <f>+AF95/1000*INICIO!$D$50</f>
        <v>0.31045107141927986</v>
      </c>
      <c r="AI95" s="55">
        <f>+IF(X95=INICIO!$B$31,IF(D95&lt;=82,0.15991*D95^2.32764, 0.15991*82^2.32764),AND(X95=INICIO!$B$32)*IF(D95&lt;=79.9,0.13657*D95^2.38351,0.13657*79.9^2.38351))</f>
        <v>33.026709725455305</v>
      </c>
      <c r="AJ95" s="56">
        <f t="shared" si="15"/>
        <v>660.5341945091061</v>
      </c>
      <c r="AK95" s="56">
        <f>+AI95/1000*INICIO!$D$50</f>
        <v>1.5522553570963995E-2</v>
      </c>
      <c r="AL95" s="56">
        <f>+AJ95/1000*INICIO!$D$50</f>
        <v>0.31045107141927986</v>
      </c>
      <c r="AM95" s="57" t="str">
        <f>+INICIO!$C$30</f>
        <v>UVG_B_Kg</v>
      </c>
    </row>
    <row r="96" spans="1:39" ht="15" x14ac:dyDescent="0.25">
      <c r="A96" s="24">
        <v>9</v>
      </c>
      <c r="B96" s="25">
        <f>'1BASE'!A96</f>
        <v>9</v>
      </c>
      <c r="C96" s="24">
        <f>'1BASE'!B96</f>
        <v>0</v>
      </c>
      <c r="D96" s="26">
        <f>'1BASE'!C96</f>
        <v>24.6</v>
      </c>
      <c r="E96" s="27">
        <f>'1BASE'!D96</f>
        <v>0</v>
      </c>
      <c r="F96" s="27">
        <f>'1BASE'!E96</f>
        <v>0</v>
      </c>
      <c r="G96" s="27"/>
      <c r="H96" s="26">
        <f>'1BASE'!F96</f>
        <v>11</v>
      </c>
      <c r="I96" s="24">
        <f>'1BASE'!G96</f>
        <v>0</v>
      </c>
      <c r="J96" s="24">
        <f>'1BASE'!H96</f>
        <v>0</v>
      </c>
      <c r="K96" s="24"/>
      <c r="L96" s="24"/>
      <c r="M96" s="24"/>
      <c r="N96" s="24"/>
      <c r="O96" s="24"/>
      <c r="P96" s="24"/>
      <c r="Q96" s="24"/>
      <c r="R96" s="24"/>
      <c r="S96" s="5"/>
      <c r="T96" s="5"/>
      <c r="U96" s="1" t="s">
        <v>96</v>
      </c>
      <c r="V96" s="11">
        <v>0.05</v>
      </c>
      <c r="W96" s="1">
        <f>+INICIO!$C$34</f>
        <v>2014</v>
      </c>
      <c r="X96" s="1" t="str">
        <f>+INICIO!$B$32</f>
        <v>LATIFOLIADO</v>
      </c>
      <c r="Y96" s="50" t="str">
        <f t="shared" si="8"/>
        <v>DEJAR</v>
      </c>
      <c r="Z96" s="50" t="str">
        <f t="shared" si="9"/>
        <v>DEJAR</v>
      </c>
      <c r="AA96" s="50" t="str">
        <f t="shared" si="10"/>
        <v>DEJAR</v>
      </c>
      <c r="AB96" s="50" t="str">
        <f t="shared" si="11"/>
        <v>DEJAR</v>
      </c>
      <c r="AC96" s="52">
        <f t="shared" si="12"/>
        <v>4.7529155256159993E-2</v>
      </c>
      <c r="AD96" s="52">
        <f t="shared" si="13"/>
        <v>0.95058310512319977</v>
      </c>
      <c r="AE96" s="52">
        <f>+IF(X96=INICIO!$B$31,0.15991*D96^2.32764,AND(X96=INICIO!$B$32)*0.13657*D96^2.38351)</f>
        <v>282.26891022236367</v>
      </c>
      <c r="AF96" s="52">
        <f t="shared" si="14"/>
        <v>5645.3782044472728</v>
      </c>
      <c r="AG96" s="52">
        <f>+AE96/1000*INICIO!$D$50</f>
        <v>0.13266638780451093</v>
      </c>
      <c r="AH96" s="52">
        <f>+AF96/1000*INICIO!$D$50</f>
        <v>2.653327756090218</v>
      </c>
      <c r="AI96" s="55">
        <f>+IF(X96=INICIO!$B$31,IF(D96&lt;=82,0.15991*D96^2.32764, 0.15991*82^2.32764),AND(X96=INICIO!$B$32)*IF(D96&lt;=79.9,0.13657*D96^2.38351,0.13657*79.9^2.38351))</f>
        <v>282.26891022236367</v>
      </c>
      <c r="AJ96" s="56">
        <f t="shared" si="15"/>
        <v>5645.3782044472728</v>
      </c>
      <c r="AK96" s="56">
        <f>+AI96/1000*INICIO!$D$50</f>
        <v>0.13266638780451093</v>
      </c>
      <c r="AL96" s="56">
        <f>+AJ96/1000*INICIO!$D$50</f>
        <v>2.653327756090218</v>
      </c>
      <c r="AM96" s="57" t="str">
        <f>+INICIO!$C$30</f>
        <v>UVG_B_Kg</v>
      </c>
    </row>
    <row r="97" spans="1:39" ht="15" x14ac:dyDescent="0.25">
      <c r="A97" s="24">
        <v>9</v>
      </c>
      <c r="B97" s="25">
        <f>'1BASE'!A97</f>
        <v>10</v>
      </c>
      <c r="C97" s="24">
        <f>'1BASE'!B97</f>
        <v>0</v>
      </c>
      <c r="D97" s="26">
        <f>'1BASE'!C97</f>
        <v>49.6</v>
      </c>
      <c r="E97" s="27">
        <f>'1BASE'!D97</f>
        <v>30</v>
      </c>
      <c r="F97" s="27">
        <f>'1BASE'!E97</f>
        <v>130</v>
      </c>
      <c r="G97" s="32">
        <f>(TAN(RADIANS(E97))*20)+(TAN(RADIANS(F97))*20)</f>
        <v>-12.288066468091687</v>
      </c>
      <c r="H97" s="26">
        <f>'1BASE'!F97</f>
        <v>8.75</v>
      </c>
      <c r="I97" s="24">
        <f>'1BASE'!G97</f>
        <v>0</v>
      </c>
      <c r="J97" s="24">
        <f>'1BASE'!H97</f>
        <v>0</v>
      </c>
      <c r="K97" s="24"/>
      <c r="L97" s="24"/>
      <c r="M97" s="24"/>
      <c r="N97" s="24"/>
      <c r="O97" s="24"/>
      <c r="P97" s="24"/>
      <c r="Q97" s="24"/>
      <c r="R97" s="24"/>
      <c r="S97" s="5"/>
      <c r="T97" s="5"/>
      <c r="U97" s="1" t="s">
        <v>96</v>
      </c>
      <c r="V97" s="11">
        <v>0.05</v>
      </c>
      <c r="W97" s="1">
        <f>+INICIO!$C$34</f>
        <v>2014</v>
      </c>
      <c r="X97" s="1" t="str">
        <f>+INICIO!$B$32</f>
        <v>LATIFOLIADO</v>
      </c>
      <c r="Y97" s="50" t="str">
        <f t="shared" si="8"/>
        <v>DEJAR</v>
      </c>
      <c r="Z97" s="50" t="str">
        <f t="shared" si="9"/>
        <v>DEJAR</v>
      </c>
      <c r="AA97" s="50" t="str">
        <f t="shared" si="10"/>
        <v>DEJAR</v>
      </c>
      <c r="AB97" s="50" t="str">
        <f t="shared" si="11"/>
        <v>DEJAR</v>
      </c>
      <c r="AC97" s="52">
        <f t="shared" si="12"/>
        <v>0.19322051456638661</v>
      </c>
      <c r="AD97" s="52">
        <f t="shared" si="13"/>
        <v>3.8644102913277321</v>
      </c>
      <c r="AE97" s="52">
        <f>+IF(X97=INICIO!$B$31,0.15991*D97^2.32764,AND(X97=INICIO!$B$32)*0.13657*D97^2.38351)</f>
        <v>1501.5950920911744</v>
      </c>
      <c r="AF97" s="52">
        <f t="shared" si="14"/>
        <v>30031.901841823485</v>
      </c>
      <c r="AG97" s="52">
        <f>+AE97/1000*INICIO!$D$50</f>
        <v>0.70574969328285186</v>
      </c>
      <c r="AH97" s="52">
        <f>+AF97/1000*INICIO!$D$50</f>
        <v>14.114993865657036</v>
      </c>
      <c r="AI97" s="55">
        <f>+IF(X97=INICIO!$B$31,IF(D97&lt;=82,0.15991*D97^2.32764, 0.15991*82^2.32764),AND(X97=INICIO!$B$32)*IF(D97&lt;=79.9,0.13657*D97^2.38351,0.13657*79.9^2.38351))</f>
        <v>1501.5950920911744</v>
      </c>
      <c r="AJ97" s="56">
        <f t="shared" si="15"/>
        <v>30031.901841823485</v>
      </c>
      <c r="AK97" s="56">
        <f>+AI97/1000*INICIO!$D$50</f>
        <v>0.70574969328285186</v>
      </c>
      <c r="AL97" s="56">
        <f>+AJ97/1000*INICIO!$D$50</f>
        <v>14.114993865657036</v>
      </c>
      <c r="AM97" s="57" t="str">
        <f>+INICIO!$C$30</f>
        <v>UVG_B_Kg</v>
      </c>
    </row>
    <row r="98" spans="1:39" ht="15" x14ac:dyDescent="0.25">
      <c r="A98" s="24">
        <v>9</v>
      </c>
      <c r="B98" s="25">
        <f>'1BASE'!A98</f>
        <v>11</v>
      </c>
      <c r="C98" s="24">
        <f>'1BASE'!B98</f>
        <v>0</v>
      </c>
      <c r="D98" s="26">
        <f>'1BASE'!C98</f>
        <v>26.4</v>
      </c>
      <c r="E98" s="27">
        <f>'1BASE'!D98</f>
        <v>15</v>
      </c>
      <c r="F98" s="27">
        <f>'1BASE'!E98</f>
        <v>110</v>
      </c>
      <c r="G98" s="32">
        <f>(TAN(RADIANS(E98))*20)+(TAN(RADIANS(F98))*20)</f>
        <v>-49.590564540469998</v>
      </c>
      <c r="H98" s="26">
        <f>'1BASE'!F98</f>
        <v>4.25</v>
      </c>
      <c r="I98" s="24">
        <f>'1BASE'!G98</f>
        <v>0</v>
      </c>
      <c r="J98" s="24">
        <f>'1BASE'!H98</f>
        <v>0</v>
      </c>
      <c r="K98" s="24"/>
      <c r="L98" s="24"/>
      <c r="M98" s="24"/>
      <c r="N98" s="24"/>
      <c r="O98" s="24"/>
      <c r="P98" s="24"/>
      <c r="Q98" s="24"/>
      <c r="R98" s="24"/>
      <c r="S98" s="5"/>
      <c r="T98" s="5"/>
      <c r="U98" s="1" t="s">
        <v>96</v>
      </c>
      <c r="V98" s="11">
        <v>0.05</v>
      </c>
      <c r="W98" s="1">
        <f>+INICIO!$C$34</f>
        <v>2014</v>
      </c>
      <c r="X98" s="1" t="str">
        <f>+INICIO!$B$32</f>
        <v>LATIFOLIADO</v>
      </c>
      <c r="Y98" s="50" t="str">
        <f t="shared" si="8"/>
        <v>DEJAR</v>
      </c>
      <c r="Z98" s="50" t="str">
        <f t="shared" si="9"/>
        <v>DEJAR</v>
      </c>
      <c r="AA98" s="50" t="str">
        <f t="shared" si="10"/>
        <v>DEJAR</v>
      </c>
      <c r="AB98" s="50" t="str">
        <f t="shared" si="11"/>
        <v>DEJAR</v>
      </c>
      <c r="AC98" s="52">
        <f t="shared" si="12"/>
        <v>5.4739110396148559E-2</v>
      </c>
      <c r="AD98" s="52">
        <f t="shared" si="13"/>
        <v>1.0947822079229712</v>
      </c>
      <c r="AE98" s="52">
        <f>+IF(X98=INICIO!$B$31,0.15991*D98^2.32764,AND(X98=INICIO!$B$32)*0.13657*D98^2.38351)</f>
        <v>334.01231933941347</v>
      </c>
      <c r="AF98" s="52">
        <f t="shared" si="14"/>
        <v>6680.2463867882689</v>
      </c>
      <c r="AG98" s="52">
        <f>+AE98/1000*INICIO!$D$50</f>
        <v>0.15698579008952432</v>
      </c>
      <c r="AH98" s="52">
        <f>+AF98/1000*INICIO!$D$50</f>
        <v>3.1397158017904858</v>
      </c>
      <c r="AI98" s="55">
        <f>+IF(X98=INICIO!$B$31,IF(D98&lt;=82,0.15991*D98^2.32764, 0.15991*82^2.32764),AND(X98=INICIO!$B$32)*IF(D98&lt;=79.9,0.13657*D98^2.38351,0.13657*79.9^2.38351))</f>
        <v>334.01231933941347</v>
      </c>
      <c r="AJ98" s="56">
        <f t="shared" si="15"/>
        <v>6680.2463867882689</v>
      </c>
      <c r="AK98" s="56">
        <f>+AI98/1000*INICIO!$D$50</f>
        <v>0.15698579008952432</v>
      </c>
      <c r="AL98" s="56">
        <f>+AJ98/1000*INICIO!$D$50</f>
        <v>3.1397158017904858</v>
      </c>
      <c r="AM98" s="57" t="str">
        <f>+INICIO!$C$30</f>
        <v>UVG_B_Kg</v>
      </c>
    </row>
    <row r="99" spans="1:39" ht="15" x14ac:dyDescent="0.25">
      <c r="A99" s="24">
        <v>9</v>
      </c>
      <c r="B99" s="25">
        <f>'1BASE'!A99</f>
        <v>12</v>
      </c>
      <c r="C99" s="24" t="str">
        <f>'1BASE'!B99</f>
        <v xml:space="preserve">Cacao de montaña </v>
      </c>
      <c r="D99" s="26">
        <f>'1BASE'!C99</f>
        <v>48.8</v>
      </c>
      <c r="E99" s="27">
        <f>'1BASE'!D99</f>
        <v>0</v>
      </c>
      <c r="F99" s="27">
        <f>'1BASE'!E99</f>
        <v>0</v>
      </c>
      <c r="G99" s="27"/>
      <c r="H99" s="26">
        <f>'1BASE'!F99</f>
        <v>6.25</v>
      </c>
      <c r="I99" s="24">
        <f>'1BASE'!G99</f>
        <v>0</v>
      </c>
      <c r="J99" s="24">
        <f>'1BASE'!H99</f>
        <v>0</v>
      </c>
      <c r="K99" s="24"/>
      <c r="L99" s="24"/>
      <c r="M99" s="24"/>
      <c r="N99" s="24"/>
      <c r="O99" s="24"/>
      <c r="P99" s="24"/>
      <c r="Q99" s="24"/>
      <c r="R99" s="24"/>
      <c r="S99" s="5"/>
      <c r="T99" s="5"/>
      <c r="U99" s="1" t="s">
        <v>96</v>
      </c>
      <c r="V99" s="11">
        <v>0.05</v>
      </c>
      <c r="W99" s="1">
        <f>+INICIO!$C$34</f>
        <v>2014</v>
      </c>
      <c r="X99" s="1" t="str">
        <f>+INICIO!$B$32</f>
        <v>LATIFOLIADO</v>
      </c>
      <c r="Y99" s="50" t="str">
        <f t="shared" si="8"/>
        <v>DEJAR</v>
      </c>
      <c r="Z99" s="50" t="str">
        <f t="shared" si="9"/>
        <v>DEJAR</v>
      </c>
      <c r="AA99" s="50" t="str">
        <f t="shared" si="10"/>
        <v>DEJAR</v>
      </c>
      <c r="AB99" s="50" t="str">
        <f t="shared" si="11"/>
        <v>DEJAR</v>
      </c>
      <c r="AC99" s="52">
        <f t="shared" si="12"/>
        <v>0.18703786022412192</v>
      </c>
      <c r="AD99" s="52">
        <f t="shared" si="13"/>
        <v>3.740757204482438</v>
      </c>
      <c r="AE99" s="52">
        <f>+IF(X99=INICIO!$B$31,0.15991*D99^2.32764,AND(X99=INICIO!$B$32)*0.13657*D99^2.38351)</f>
        <v>1444.5109534029223</v>
      </c>
      <c r="AF99" s="52">
        <f t="shared" si="14"/>
        <v>28890.219068058443</v>
      </c>
      <c r="AG99" s="52">
        <f>+AE99/1000*INICIO!$D$50</f>
        <v>0.67892014809937351</v>
      </c>
      <c r="AH99" s="52">
        <f>+AF99/1000*INICIO!$D$50</f>
        <v>13.578402961987468</v>
      </c>
      <c r="AI99" s="55">
        <f>+IF(X99=INICIO!$B$31,IF(D99&lt;=82,0.15991*D99^2.32764, 0.15991*82^2.32764),AND(X99=INICIO!$B$32)*IF(D99&lt;=79.9,0.13657*D99^2.38351,0.13657*79.9^2.38351))</f>
        <v>1444.5109534029223</v>
      </c>
      <c r="AJ99" s="56">
        <f t="shared" si="15"/>
        <v>28890.219068058443</v>
      </c>
      <c r="AK99" s="56">
        <f>+AI99/1000*INICIO!$D$50</f>
        <v>0.67892014809937351</v>
      </c>
      <c r="AL99" s="56">
        <f>+AJ99/1000*INICIO!$D$50</f>
        <v>13.578402961987468</v>
      </c>
      <c r="AM99" s="57" t="str">
        <f>+INICIO!$C$30</f>
        <v>UVG_B_Kg</v>
      </c>
    </row>
    <row r="100" spans="1:39" ht="15" x14ac:dyDescent="0.25">
      <c r="A100" s="24">
        <v>9</v>
      </c>
      <c r="B100" s="25">
        <f>'1BASE'!A100</f>
        <v>13</v>
      </c>
      <c r="C100" s="24" t="str">
        <f>'1BASE'!B100</f>
        <v>Matapalo</v>
      </c>
      <c r="D100" s="26">
        <f>'1BASE'!C100</f>
        <v>11</v>
      </c>
      <c r="E100" s="27">
        <f>'1BASE'!D100</f>
        <v>0</v>
      </c>
      <c r="F100" s="27">
        <f>'1BASE'!E100</f>
        <v>0</v>
      </c>
      <c r="G100" s="27"/>
      <c r="H100" s="26">
        <f>'1BASE'!F100</f>
        <v>1.5</v>
      </c>
      <c r="I100" s="24">
        <f>'1BASE'!G100</f>
        <v>0</v>
      </c>
      <c r="J100" s="24">
        <f>'1BASE'!H100</f>
        <v>0</v>
      </c>
      <c r="K100" s="24"/>
      <c r="L100" s="24"/>
      <c r="M100" s="24"/>
      <c r="N100" s="24"/>
      <c r="O100" s="24"/>
      <c r="P100" s="24"/>
      <c r="Q100" s="24"/>
      <c r="R100" s="24"/>
      <c r="S100" s="5"/>
      <c r="T100" s="5"/>
      <c r="U100" s="1" t="s">
        <v>96</v>
      </c>
      <c r="V100" s="11">
        <v>0.05</v>
      </c>
      <c r="W100" s="1">
        <f>+INICIO!$C$34</f>
        <v>2014</v>
      </c>
      <c r="X100" s="1" t="str">
        <f>+INICIO!$B$32</f>
        <v>LATIFOLIADO</v>
      </c>
      <c r="Y100" s="50" t="str">
        <f t="shared" si="8"/>
        <v>DEJAR</v>
      </c>
      <c r="Z100" s="50" t="str">
        <f t="shared" si="9"/>
        <v>DEJAR</v>
      </c>
      <c r="AA100" s="50" t="str">
        <f t="shared" si="10"/>
        <v>DEJAR</v>
      </c>
      <c r="AB100" s="50" t="str">
        <f t="shared" si="11"/>
        <v>DEJAR</v>
      </c>
      <c r="AC100" s="52">
        <f t="shared" si="12"/>
        <v>9.5033177771091243E-3</v>
      </c>
      <c r="AD100" s="52">
        <f t="shared" si="13"/>
        <v>0.19006635554218249</v>
      </c>
      <c r="AE100" s="52">
        <f>+IF(X100=INICIO!$B$31,0.15991*D100^2.32764,AND(X100=INICIO!$B$32)*0.13657*D100^2.38351)</f>
        <v>41.450062373780455</v>
      </c>
      <c r="AF100" s="52">
        <f t="shared" si="14"/>
        <v>829.00124747560903</v>
      </c>
      <c r="AG100" s="52">
        <f>+AE100/1000*INICIO!$D$50</f>
        <v>1.9481529315676812E-2</v>
      </c>
      <c r="AH100" s="52">
        <f>+AF100/1000*INICIO!$D$50</f>
        <v>0.3896305863135362</v>
      </c>
      <c r="AI100" s="55">
        <f>+IF(X100=INICIO!$B$31,IF(D100&lt;=82,0.15991*D100^2.32764, 0.15991*82^2.32764),AND(X100=INICIO!$B$32)*IF(D100&lt;=79.9,0.13657*D100^2.38351,0.13657*79.9^2.38351))</f>
        <v>41.450062373780455</v>
      </c>
      <c r="AJ100" s="56">
        <f t="shared" si="15"/>
        <v>829.00124747560903</v>
      </c>
      <c r="AK100" s="56">
        <f>+AI100/1000*INICIO!$D$50</f>
        <v>1.9481529315676812E-2</v>
      </c>
      <c r="AL100" s="56">
        <f>+AJ100/1000*INICIO!$D$50</f>
        <v>0.3896305863135362</v>
      </c>
      <c r="AM100" s="57" t="str">
        <f>+INICIO!$C$30</f>
        <v>UVG_B_Kg</v>
      </c>
    </row>
    <row r="101" spans="1:39" ht="15" x14ac:dyDescent="0.25">
      <c r="A101" s="24">
        <v>9</v>
      </c>
      <c r="B101" s="25">
        <f>'1BASE'!A101</f>
        <v>14</v>
      </c>
      <c r="C101" s="24" t="str">
        <f>'1BASE'!B101</f>
        <v>Lagarto</v>
      </c>
      <c r="D101" s="26">
        <f>'1BASE'!C101</f>
        <v>57.2</v>
      </c>
      <c r="E101" s="27">
        <f>'1BASE'!D101</f>
        <v>0</v>
      </c>
      <c r="F101" s="27">
        <f>'1BASE'!E101</f>
        <v>0</v>
      </c>
      <c r="G101" s="24"/>
      <c r="H101" s="26">
        <f>'1BASE'!F101</f>
        <v>5.5</v>
      </c>
      <c r="I101" s="24">
        <f>'1BASE'!G101</f>
        <v>0</v>
      </c>
      <c r="J101" s="24">
        <f>'1BASE'!H101</f>
        <v>0</v>
      </c>
      <c r="K101" s="24"/>
      <c r="L101" s="24"/>
      <c r="M101" s="24"/>
      <c r="N101" s="24"/>
      <c r="O101" s="24"/>
      <c r="P101" s="24"/>
      <c r="Q101" s="24"/>
      <c r="R101" s="24"/>
      <c r="S101" s="5"/>
      <c r="T101" s="5"/>
      <c r="U101" s="1" t="s">
        <v>96</v>
      </c>
      <c r="V101" s="11">
        <v>0.05</v>
      </c>
      <c r="W101" s="1">
        <f>+INICIO!$C$34</f>
        <v>2014</v>
      </c>
      <c r="X101" s="1" t="str">
        <f>+INICIO!$B$32</f>
        <v>LATIFOLIADO</v>
      </c>
      <c r="Y101" s="50" t="str">
        <f t="shared" si="8"/>
        <v>DEJAR</v>
      </c>
      <c r="Z101" s="50" t="str">
        <f t="shared" si="9"/>
        <v>DEJAR</v>
      </c>
      <c r="AA101" s="50" t="str">
        <f t="shared" si="10"/>
        <v>DEJAR</v>
      </c>
      <c r="AB101" s="50" t="str">
        <f t="shared" si="11"/>
        <v>DEJAR</v>
      </c>
      <c r="AC101" s="52">
        <f t="shared" si="12"/>
        <v>0.25696971269303076</v>
      </c>
      <c r="AD101" s="52">
        <f t="shared" si="13"/>
        <v>5.1393942538606145</v>
      </c>
      <c r="AE101" s="52">
        <f>+IF(X101=INICIO!$B$31,0.15991*D101^2.32764,AND(X101=INICIO!$B$32)*0.13657*D101^2.38351)</f>
        <v>2109.2415503696147</v>
      </c>
      <c r="AF101" s="52">
        <f t="shared" si="14"/>
        <v>42184.831007392291</v>
      </c>
      <c r="AG101" s="52">
        <f>+AE101/1000*INICIO!$D$50</f>
        <v>0.99134352867371889</v>
      </c>
      <c r="AH101" s="52">
        <f>+AF101/1000*INICIO!$D$50</f>
        <v>19.826870573474377</v>
      </c>
      <c r="AI101" s="55">
        <f>+IF(X101=INICIO!$B$31,IF(D101&lt;=82,0.15991*D101^2.32764, 0.15991*82^2.32764),AND(X101=INICIO!$B$32)*IF(D101&lt;=79.9,0.13657*D101^2.38351,0.13657*79.9^2.38351))</f>
        <v>2109.2415503696147</v>
      </c>
      <c r="AJ101" s="56">
        <f t="shared" si="15"/>
        <v>42184.831007392291</v>
      </c>
      <c r="AK101" s="56">
        <f>+AI101/1000*INICIO!$D$50</f>
        <v>0.99134352867371889</v>
      </c>
      <c r="AL101" s="56">
        <f>+AJ101/1000*INICIO!$D$50</f>
        <v>19.826870573474377</v>
      </c>
      <c r="AM101" s="57" t="str">
        <f>+INICIO!$C$30</f>
        <v>UVG_B_Kg</v>
      </c>
    </row>
    <row r="102" spans="1:39" ht="15" x14ac:dyDescent="0.25">
      <c r="A102" s="24">
        <v>9</v>
      </c>
      <c r="B102" s="25">
        <f>'1BASE'!A102</f>
        <v>15</v>
      </c>
      <c r="C102" s="24">
        <f>'1BASE'!B102</f>
        <v>0</v>
      </c>
      <c r="D102" s="26">
        <f>'1BASE'!C102</f>
        <v>10</v>
      </c>
      <c r="E102" s="27">
        <f>'1BASE'!D102</f>
        <v>0</v>
      </c>
      <c r="F102" s="27">
        <f>'1BASE'!E102</f>
        <v>0</v>
      </c>
      <c r="G102" s="24"/>
      <c r="H102" s="26">
        <f>'1BASE'!F102</f>
        <v>4</v>
      </c>
      <c r="I102" s="24">
        <f>'1BASE'!G102</f>
        <v>0</v>
      </c>
      <c r="J102" s="24">
        <f>'1BASE'!H102</f>
        <v>0</v>
      </c>
      <c r="K102" s="24"/>
      <c r="L102" s="24"/>
      <c r="M102" s="24"/>
      <c r="N102" s="24"/>
      <c r="O102" s="24"/>
      <c r="P102" s="24"/>
      <c r="Q102" s="24"/>
      <c r="R102" s="24"/>
      <c r="S102" s="5"/>
      <c r="T102" s="5"/>
      <c r="U102" s="1" t="s">
        <v>96</v>
      </c>
      <c r="V102" s="11">
        <v>0.05</v>
      </c>
      <c r="W102" s="1">
        <f>+INICIO!$C$34</f>
        <v>2014</v>
      </c>
      <c r="X102" s="1" t="str">
        <f>+INICIO!$B$32</f>
        <v>LATIFOLIADO</v>
      </c>
      <c r="Y102" s="50" t="str">
        <f t="shared" si="8"/>
        <v>DEJAR</v>
      </c>
      <c r="Z102" s="50" t="str">
        <f t="shared" si="9"/>
        <v>DEJAR</v>
      </c>
      <c r="AA102" s="50" t="str">
        <f t="shared" si="10"/>
        <v>DEJAR</v>
      </c>
      <c r="AB102" s="50" t="str">
        <f t="shared" si="11"/>
        <v>DEJAR</v>
      </c>
      <c r="AC102" s="52">
        <f t="shared" si="12"/>
        <v>7.8539816339744835E-3</v>
      </c>
      <c r="AD102" s="52">
        <f t="shared" si="13"/>
        <v>0.15707963267948966</v>
      </c>
      <c r="AE102" s="52">
        <f>+IF(X102=INICIO!$B$31,0.15991*D102^2.32764,AND(X102=INICIO!$B$32)*0.13657*D102^2.38351)</f>
        <v>33.026709725455305</v>
      </c>
      <c r="AF102" s="52">
        <f t="shared" si="14"/>
        <v>660.5341945091061</v>
      </c>
      <c r="AG102" s="52">
        <f>+AE102/1000*INICIO!$D$50</f>
        <v>1.5522553570963995E-2</v>
      </c>
      <c r="AH102" s="52">
        <f>+AF102/1000*INICIO!$D$50</f>
        <v>0.31045107141927986</v>
      </c>
      <c r="AI102" s="55">
        <f>+IF(X102=INICIO!$B$31,IF(D102&lt;=82,0.15991*D102^2.32764, 0.15991*82^2.32764),AND(X102=INICIO!$B$32)*IF(D102&lt;=79.9,0.13657*D102^2.38351,0.13657*79.9^2.38351))</f>
        <v>33.026709725455305</v>
      </c>
      <c r="AJ102" s="56">
        <f t="shared" si="15"/>
        <v>660.5341945091061</v>
      </c>
      <c r="AK102" s="56">
        <f>+AI102/1000*INICIO!$D$50</f>
        <v>1.5522553570963995E-2</v>
      </c>
      <c r="AL102" s="56">
        <f>+AJ102/1000*INICIO!$D$50</f>
        <v>0.31045107141927986</v>
      </c>
      <c r="AM102" s="57" t="str">
        <f>+INICIO!$C$30</f>
        <v>UVG_B_Kg</v>
      </c>
    </row>
    <row r="103" spans="1:39" ht="15" x14ac:dyDescent="0.25">
      <c r="A103" s="24">
        <v>9</v>
      </c>
      <c r="B103" s="29">
        <f>'1BASE'!A103</f>
        <v>16</v>
      </c>
      <c r="C103" s="30">
        <f>'1BASE'!B103</f>
        <v>0</v>
      </c>
      <c r="D103" s="26">
        <f>'1BASE'!C103</f>
        <v>30.4</v>
      </c>
      <c r="E103" s="27">
        <f>'1BASE'!D103</f>
        <v>0</v>
      </c>
      <c r="F103" s="27">
        <f>'1BASE'!E103</f>
        <v>0</v>
      </c>
      <c r="G103" s="30"/>
      <c r="H103" s="26">
        <f>'1BASE'!F103</f>
        <v>7</v>
      </c>
      <c r="I103" s="24">
        <f>'1BASE'!G103</f>
        <v>0</v>
      </c>
      <c r="J103" s="24">
        <f>'1BASE'!H103</f>
        <v>0</v>
      </c>
      <c r="K103" s="24"/>
      <c r="L103" s="24"/>
      <c r="M103" s="24"/>
      <c r="N103" s="24"/>
      <c r="O103" s="24"/>
      <c r="P103" s="24"/>
      <c r="Q103" s="24"/>
      <c r="R103" s="24"/>
      <c r="S103" s="5"/>
      <c r="T103" s="5"/>
      <c r="U103" s="1" t="s">
        <v>96</v>
      </c>
      <c r="V103" s="11">
        <v>0.05</v>
      </c>
      <c r="W103" s="1">
        <f>+INICIO!$C$34</f>
        <v>2014</v>
      </c>
      <c r="X103" s="1" t="str">
        <f>+INICIO!$B$32</f>
        <v>LATIFOLIADO</v>
      </c>
      <c r="Y103" s="50" t="str">
        <f t="shared" si="8"/>
        <v>DEJAR</v>
      </c>
      <c r="Z103" s="50" t="str">
        <f t="shared" si="9"/>
        <v>DEJAR</v>
      </c>
      <c r="AA103" s="50" t="str">
        <f t="shared" si="10"/>
        <v>DEJAR</v>
      </c>
      <c r="AB103" s="50" t="str">
        <f t="shared" si="11"/>
        <v>DEJAR</v>
      </c>
      <c r="AC103" s="52">
        <f t="shared" si="12"/>
        <v>7.2583356668538573E-2</v>
      </c>
      <c r="AD103" s="52">
        <f t="shared" si="13"/>
        <v>1.4516671333707714</v>
      </c>
      <c r="AE103" s="52">
        <f>+IF(X103=INICIO!$B$31,0.15991*D103^2.32764,AND(X103=INICIO!$B$32)*0.13657*D103^2.38351)</f>
        <v>467.5190638960982</v>
      </c>
      <c r="AF103" s="52">
        <f t="shared" si="14"/>
        <v>9350.3812779219643</v>
      </c>
      <c r="AG103" s="52">
        <f>+AE103/1000*INICIO!$D$50</f>
        <v>0.21973396003116616</v>
      </c>
      <c r="AH103" s="52">
        <f>+AF103/1000*INICIO!$D$50</f>
        <v>4.3946792006233233</v>
      </c>
      <c r="AI103" s="55">
        <f>+IF(X103=INICIO!$B$31,IF(D103&lt;=82,0.15991*D103^2.32764, 0.15991*82^2.32764),AND(X103=INICIO!$B$32)*IF(D103&lt;=79.9,0.13657*D103^2.38351,0.13657*79.9^2.38351))</f>
        <v>467.5190638960982</v>
      </c>
      <c r="AJ103" s="56">
        <f t="shared" si="15"/>
        <v>9350.3812779219643</v>
      </c>
      <c r="AK103" s="56">
        <f>+AI103/1000*INICIO!$D$50</f>
        <v>0.21973396003116616</v>
      </c>
      <c r="AL103" s="56">
        <f>+AJ103/1000*INICIO!$D$50</f>
        <v>4.3946792006233233</v>
      </c>
      <c r="AM103" s="57" t="str">
        <f>+INICIO!$C$30</f>
        <v>UVG_B_Kg</v>
      </c>
    </row>
    <row r="104" spans="1:39" ht="15" x14ac:dyDescent="0.25">
      <c r="A104" s="24">
        <v>9</v>
      </c>
      <c r="B104" s="29">
        <f>'1BASE'!A104</f>
        <v>17</v>
      </c>
      <c r="C104" s="24">
        <f>'1BASE'!B104</f>
        <v>0</v>
      </c>
      <c r="D104" s="26">
        <f>'1BASE'!C104</f>
        <v>44.7</v>
      </c>
      <c r="E104" s="27">
        <f>'1BASE'!D104</f>
        <v>0</v>
      </c>
      <c r="F104" s="27">
        <f>'1BASE'!E104</f>
        <v>0</v>
      </c>
      <c r="G104" s="24"/>
      <c r="H104" s="26">
        <f>'1BASE'!F104</f>
        <v>10</v>
      </c>
      <c r="I104" s="24">
        <f>'1BASE'!G104</f>
        <v>0</v>
      </c>
      <c r="J104" s="24">
        <f>'1BASE'!H104</f>
        <v>0</v>
      </c>
      <c r="K104" s="24"/>
      <c r="L104" s="24"/>
      <c r="M104" s="24"/>
      <c r="N104" s="24"/>
      <c r="O104" s="24"/>
      <c r="P104" s="24"/>
      <c r="Q104" s="24"/>
      <c r="R104" s="24"/>
      <c r="S104" s="5"/>
      <c r="T104" s="5"/>
      <c r="U104" s="1" t="s">
        <v>96</v>
      </c>
      <c r="V104" s="11">
        <v>0.05</v>
      </c>
      <c r="W104" s="1">
        <f>+INICIO!$C$34</f>
        <v>2014</v>
      </c>
      <c r="X104" s="1" t="str">
        <f>+INICIO!$B$32</f>
        <v>LATIFOLIADO</v>
      </c>
      <c r="Y104" s="50" t="str">
        <f t="shared" si="8"/>
        <v>DEJAR</v>
      </c>
      <c r="Z104" s="50" t="str">
        <f t="shared" si="9"/>
        <v>DEJAR</v>
      </c>
      <c r="AA104" s="50" t="str">
        <f t="shared" si="10"/>
        <v>DEJAR</v>
      </c>
      <c r="AB104" s="50" t="str">
        <f t="shared" si="11"/>
        <v>DEJAR</v>
      </c>
      <c r="AC104" s="52">
        <f t="shared" si="12"/>
        <v>0.15692962163028076</v>
      </c>
      <c r="AD104" s="52">
        <f t="shared" si="13"/>
        <v>3.1385924326056149</v>
      </c>
      <c r="AE104" s="52">
        <f>+IF(X104=INICIO!$B$31,0.15991*D104^2.32764,AND(X104=INICIO!$B$32)*0.13657*D104^2.38351)</f>
        <v>1171.8709645318349</v>
      </c>
      <c r="AF104" s="52">
        <f t="shared" si="14"/>
        <v>23437.419290636699</v>
      </c>
      <c r="AG104" s="52">
        <f>+AE104/1000*INICIO!$D$50</f>
        <v>0.55077935332996242</v>
      </c>
      <c r="AH104" s="52">
        <f>+AF104/1000*INICIO!$D$50</f>
        <v>11.015587066599247</v>
      </c>
      <c r="AI104" s="55">
        <f>+IF(X104=INICIO!$B$31,IF(D104&lt;=82,0.15991*D104^2.32764, 0.15991*82^2.32764),AND(X104=INICIO!$B$32)*IF(D104&lt;=79.9,0.13657*D104^2.38351,0.13657*79.9^2.38351))</f>
        <v>1171.8709645318349</v>
      </c>
      <c r="AJ104" s="56">
        <f t="shared" si="15"/>
        <v>23437.419290636699</v>
      </c>
      <c r="AK104" s="56">
        <f>+AI104/1000*INICIO!$D$50</f>
        <v>0.55077935332996242</v>
      </c>
      <c r="AL104" s="56">
        <f>+AJ104/1000*INICIO!$D$50</f>
        <v>11.015587066599247</v>
      </c>
      <c r="AM104" s="57" t="str">
        <f>+INICIO!$C$30</f>
        <v>UVG_B_Kg</v>
      </c>
    </row>
    <row r="105" spans="1:39" ht="15" x14ac:dyDescent="0.25">
      <c r="A105" s="24">
        <v>10</v>
      </c>
      <c r="B105" s="25">
        <f>'1BASE'!A105</f>
        <v>1</v>
      </c>
      <c r="C105" s="24">
        <f>'1BASE'!B105</f>
        <v>0</v>
      </c>
      <c r="D105" s="26">
        <f>'1BASE'!C105</f>
        <v>35.6</v>
      </c>
      <c r="E105" s="27">
        <f>'1BASE'!D105</f>
        <v>23</v>
      </c>
      <c r="F105" s="27">
        <f>'1BASE'!E105</f>
        <v>140</v>
      </c>
      <c r="G105" s="32">
        <f>(TAN(RADIANS(E105))*20)+(TAN(RADIANS(F105))*20)</f>
        <v>-8.2924962993535143</v>
      </c>
      <c r="H105" s="26">
        <f>'1BASE'!F105</f>
        <v>0</v>
      </c>
      <c r="I105" s="22" t="str">
        <f>'1BASE'!G105</f>
        <v>X</v>
      </c>
      <c r="J105" s="22" t="str">
        <f>'1BASE'!H105</f>
        <v>Y</v>
      </c>
      <c r="K105" s="24"/>
      <c r="L105" s="24"/>
      <c r="M105" s="24"/>
      <c r="N105" s="24"/>
      <c r="O105" s="24"/>
      <c r="P105" s="24"/>
      <c r="Q105" s="24"/>
      <c r="R105" s="24"/>
      <c r="S105" s="5"/>
      <c r="T105" s="5"/>
      <c r="U105" s="1" t="s">
        <v>96</v>
      </c>
      <c r="V105" s="11">
        <v>0.05</v>
      </c>
      <c r="W105" s="1">
        <f>+INICIO!$C$34</f>
        <v>2014</v>
      </c>
      <c r="X105" s="1" t="str">
        <f>+INICIO!$B$32</f>
        <v>LATIFOLIADO</v>
      </c>
      <c r="Y105" s="50" t="str">
        <f t="shared" si="8"/>
        <v>DEJAR</v>
      </c>
      <c r="Z105" s="50" t="str">
        <f t="shared" si="9"/>
        <v>DEJAR</v>
      </c>
      <c r="AA105" s="50" t="str">
        <f t="shared" si="10"/>
        <v>DEJAR</v>
      </c>
      <c r="AB105" s="50" t="str">
        <f t="shared" si="11"/>
        <v>DEJAR</v>
      </c>
      <c r="AC105" s="52">
        <f t="shared" si="12"/>
        <v>9.9538221636339019E-2</v>
      </c>
      <c r="AD105" s="52">
        <f t="shared" si="13"/>
        <v>1.9907644327267804</v>
      </c>
      <c r="AE105" s="52">
        <f>+IF(X105=INICIO!$B$31,0.15991*D105^2.32764,AND(X105=INICIO!$B$32)*0.13657*D105^2.38351)</f>
        <v>681.16432459004352</v>
      </c>
      <c r="AF105" s="52">
        <f t="shared" si="14"/>
        <v>13623.286491800869</v>
      </c>
      <c r="AG105" s="52">
        <f>+AE105/1000*INICIO!$D$50</f>
        <v>0.32014723255732042</v>
      </c>
      <c r="AH105" s="52">
        <f>+AF105/1000*INICIO!$D$50</f>
        <v>6.4029446511464077</v>
      </c>
      <c r="AI105" s="55">
        <f>+IF(X105=INICIO!$B$31,IF(D105&lt;=82,0.15991*D105^2.32764, 0.15991*82^2.32764),AND(X105=INICIO!$B$32)*IF(D105&lt;=79.9,0.13657*D105^2.38351,0.13657*79.9^2.38351))</f>
        <v>681.16432459004352</v>
      </c>
      <c r="AJ105" s="56">
        <f t="shared" si="15"/>
        <v>13623.286491800869</v>
      </c>
      <c r="AK105" s="56">
        <f>+AI105/1000*INICIO!$D$50</f>
        <v>0.32014723255732042</v>
      </c>
      <c r="AL105" s="56">
        <f>+AJ105/1000*INICIO!$D$50</f>
        <v>6.4029446511464077</v>
      </c>
      <c r="AM105" s="57" t="str">
        <f>+INICIO!$C$30</f>
        <v>UVG_B_Kg</v>
      </c>
    </row>
    <row r="106" spans="1:39" ht="15" x14ac:dyDescent="0.25">
      <c r="A106" s="24">
        <v>10</v>
      </c>
      <c r="B106" s="25">
        <f>'1BASE'!A106</f>
        <v>2</v>
      </c>
      <c r="C106" s="24">
        <f>'1BASE'!B106</f>
        <v>0</v>
      </c>
      <c r="D106" s="26">
        <f>'1BASE'!C106</f>
        <v>21.9</v>
      </c>
      <c r="E106" s="27">
        <f>'1BASE'!D106</f>
        <v>22</v>
      </c>
      <c r="F106" s="27">
        <f>'1BASE'!E106</f>
        <v>55</v>
      </c>
      <c r="G106" s="27">
        <f>(TAN(RADIANS(E106))*20)+(TAN(RADIANS(F106))*20)</f>
        <v>36.643484651545421</v>
      </c>
      <c r="H106" s="26">
        <f>'1BASE'!F106</f>
        <v>5.5</v>
      </c>
      <c r="I106" s="22" t="str">
        <f>'1BASE'!G106</f>
        <v>88° 38' 59.6''</v>
      </c>
      <c r="J106" s="22" t="str">
        <f>'1BASE'!H106</f>
        <v>15° 40' 59.9''</v>
      </c>
      <c r="K106" s="24" t="str">
        <f>LEFT(I106,2)</f>
        <v>88</v>
      </c>
      <c r="L106" s="24" t="str">
        <f>+LEFT(RIGHT(I106,10),2)</f>
        <v>38</v>
      </c>
      <c r="M106" s="24" t="str">
        <f>+LEFT(RIGHT(I106,6),4)</f>
        <v>59.6</v>
      </c>
      <c r="N106" s="24">
        <f>(K106+((L106+(M106/60)/60)/60))*-1</f>
        <v>-88.633609259259259</v>
      </c>
      <c r="O106" s="24" t="str">
        <f>LEFT(J106,2)</f>
        <v>15</v>
      </c>
      <c r="P106" s="24" t="str">
        <f>+LEFT(RIGHT(J106,10),2)</f>
        <v>40</v>
      </c>
      <c r="Q106" s="24" t="str">
        <f>+LEFT(RIGHT(J106,6),4)</f>
        <v>59.9</v>
      </c>
      <c r="R106" s="24">
        <f>O106+((P106+(Q106/60)/60)/60)</f>
        <v>15.666943981481481</v>
      </c>
      <c r="S106" s="11">
        <v>700085.95488900004</v>
      </c>
      <c r="T106" s="11">
        <v>1733321.966</v>
      </c>
      <c r="U106" s="1" t="s">
        <v>96</v>
      </c>
      <c r="V106" s="11">
        <v>0.05</v>
      </c>
      <c r="W106" s="1">
        <f>+INICIO!$C$34</f>
        <v>2014</v>
      </c>
      <c r="X106" s="1" t="str">
        <f>+INICIO!$B$32</f>
        <v>LATIFOLIADO</v>
      </c>
      <c r="Y106" s="50" t="str">
        <f t="shared" si="8"/>
        <v>DEJAR</v>
      </c>
      <c r="Z106" s="50" t="str">
        <f t="shared" si="9"/>
        <v>DEJAR</v>
      </c>
      <c r="AA106" s="50" t="str">
        <f t="shared" si="10"/>
        <v>DEJAR</v>
      </c>
      <c r="AB106" s="50" t="str">
        <f t="shared" si="11"/>
        <v>DEJAR</v>
      </c>
      <c r="AC106" s="52">
        <f t="shared" si="12"/>
        <v>3.7668481314705009E-2</v>
      </c>
      <c r="AD106" s="52">
        <f t="shared" si="13"/>
        <v>0.75336962629410009</v>
      </c>
      <c r="AE106" s="52">
        <f>+IF(X106=INICIO!$B$31,0.15991*D106^2.32764,AND(X106=INICIO!$B$32)*0.13657*D106^2.38351)</f>
        <v>213.95244879543969</v>
      </c>
      <c r="AF106" s="52">
        <f t="shared" si="14"/>
        <v>4279.0489759087932</v>
      </c>
      <c r="AG106" s="52">
        <f>+AE106/1000*INICIO!$D$50</f>
        <v>0.10055765093385666</v>
      </c>
      <c r="AH106" s="52">
        <f>+AF106/1000*INICIO!$D$50</f>
        <v>2.0111530186771329</v>
      </c>
      <c r="AI106" s="55">
        <f>+IF(X106=INICIO!$B$31,IF(D106&lt;=82,0.15991*D106^2.32764, 0.15991*82^2.32764),AND(X106=INICIO!$B$32)*IF(D106&lt;=79.9,0.13657*D106^2.38351,0.13657*79.9^2.38351))</f>
        <v>213.95244879543969</v>
      </c>
      <c r="AJ106" s="56">
        <f t="shared" si="15"/>
        <v>4279.0489759087932</v>
      </c>
      <c r="AK106" s="56">
        <f>+AI106/1000*INICIO!$D$50</f>
        <v>0.10055765093385666</v>
      </c>
      <c r="AL106" s="56">
        <f>+AJ106/1000*INICIO!$D$50</f>
        <v>2.0111530186771329</v>
      </c>
      <c r="AM106" s="57" t="str">
        <f>+INICIO!$C$30</f>
        <v>UVG_B_Kg</v>
      </c>
    </row>
    <row r="107" spans="1:39" ht="15" x14ac:dyDescent="0.25">
      <c r="A107" s="24">
        <v>10</v>
      </c>
      <c r="B107" s="25">
        <f>'1BASE'!A107</f>
        <v>3</v>
      </c>
      <c r="C107" s="24">
        <f>'1BASE'!B107</f>
        <v>0</v>
      </c>
      <c r="D107" s="26">
        <f>'1BASE'!C107</f>
        <v>82.8</v>
      </c>
      <c r="E107" s="27">
        <f>'1BASE'!D107</f>
        <v>0</v>
      </c>
      <c r="F107" s="27">
        <f>'1BASE'!E107</f>
        <v>0</v>
      </c>
      <c r="G107" s="27"/>
      <c r="H107" s="26">
        <f>'1BASE'!F107</f>
        <v>12</v>
      </c>
      <c r="I107" s="24">
        <f>'1BASE'!G107</f>
        <v>0</v>
      </c>
      <c r="J107" s="24">
        <f>'1BASE'!H107</f>
        <v>0</v>
      </c>
      <c r="K107" s="24"/>
      <c r="L107" s="24"/>
      <c r="M107" s="24"/>
      <c r="N107" s="24"/>
      <c r="O107" s="24"/>
      <c r="P107" s="24"/>
      <c r="Q107" s="24"/>
      <c r="R107" s="24"/>
      <c r="S107" s="5"/>
      <c r="T107" s="5"/>
      <c r="U107" s="1" t="s">
        <v>96</v>
      </c>
      <c r="V107" s="11">
        <v>0.05</v>
      </c>
      <c r="W107" s="1">
        <f>+INICIO!$C$34</f>
        <v>2014</v>
      </c>
      <c r="X107" s="1" t="str">
        <f>+INICIO!$B$32</f>
        <v>LATIFOLIADO</v>
      </c>
      <c r="Y107" s="50" t="str">
        <f t="shared" si="8"/>
        <v>DEJAR</v>
      </c>
      <c r="Z107" s="50" t="str">
        <f t="shared" si="9"/>
        <v>DEJAR</v>
      </c>
      <c r="AA107" s="50" t="str">
        <f t="shared" si="10"/>
        <v>DEJAR</v>
      </c>
      <c r="AB107" s="50" t="str">
        <f t="shared" si="11"/>
        <v>DEJAR</v>
      </c>
      <c r="AC107" s="52">
        <f t="shared" si="12"/>
        <v>0.53845641445467618</v>
      </c>
      <c r="AD107" s="52">
        <f t="shared" si="13"/>
        <v>10.769128289093523</v>
      </c>
      <c r="AE107" s="52">
        <f>+IF(X107=INICIO!$B$31,0.15991*D107^2.32764,AND(X107=INICIO!$B$32)*0.13657*D107^2.38351)</f>
        <v>5093.3063349812019</v>
      </c>
      <c r="AF107" s="52">
        <f t="shared" si="14"/>
        <v>101866.12669962403</v>
      </c>
      <c r="AG107" s="52">
        <f>+AE107/1000*INICIO!$D$50</f>
        <v>2.3938539774411649</v>
      </c>
      <c r="AH107" s="52">
        <f>+AF107/1000*INICIO!$D$50</f>
        <v>47.877079548823289</v>
      </c>
      <c r="AI107" s="55">
        <f>+IF(X107=INICIO!$B$31,IF(D107&lt;=82,0.15991*D107^2.32764, 0.15991*82^2.32764),AND(X107=INICIO!$B$32)*IF(D107&lt;=79.9,0.13657*D107^2.38351,0.13657*79.9^2.38351))</f>
        <v>4678.370186681871</v>
      </c>
      <c r="AJ107" s="56">
        <f t="shared" si="15"/>
        <v>93567.403733637417</v>
      </c>
      <c r="AK107" s="56">
        <f>+AI107/1000*INICIO!$D$50</f>
        <v>2.1988339877404792</v>
      </c>
      <c r="AL107" s="56">
        <f>+AJ107/1000*INICIO!$D$50</f>
        <v>43.976679754809588</v>
      </c>
      <c r="AM107" s="57" t="str">
        <f>+INICIO!$C$30</f>
        <v>UVG_B_Kg</v>
      </c>
    </row>
    <row r="108" spans="1:39" ht="15" x14ac:dyDescent="0.25">
      <c r="A108" s="24">
        <v>10</v>
      </c>
      <c r="B108" s="25">
        <f>'1BASE'!A108</f>
        <v>4</v>
      </c>
      <c r="C108" s="24" t="str">
        <f>'1BASE'!B108</f>
        <v>Lagarto</v>
      </c>
      <c r="D108" s="26">
        <f>'1BASE'!C108</f>
        <v>139.80000000000001</v>
      </c>
      <c r="E108" s="27">
        <f>'1BASE'!D108</f>
        <v>0</v>
      </c>
      <c r="F108" s="27">
        <f>'1BASE'!E108</f>
        <v>0</v>
      </c>
      <c r="G108" s="27"/>
      <c r="H108" s="26">
        <f>'1BASE'!F108</f>
        <v>10.5</v>
      </c>
      <c r="I108" s="24">
        <f>'1BASE'!G108</f>
        <v>0</v>
      </c>
      <c r="J108" s="24">
        <f>'1BASE'!H108</f>
        <v>0</v>
      </c>
      <c r="K108" s="24"/>
      <c r="L108" s="24"/>
      <c r="M108" s="24"/>
      <c r="N108" s="24"/>
      <c r="O108" s="24"/>
      <c r="P108" s="24"/>
      <c r="Q108" s="24"/>
      <c r="R108" s="24"/>
      <c r="S108" s="5"/>
      <c r="T108" s="5"/>
      <c r="U108" s="1" t="s">
        <v>96</v>
      </c>
      <c r="V108" s="11">
        <v>0.05</v>
      </c>
      <c r="W108" s="1">
        <f>+INICIO!$C$34</f>
        <v>2014</v>
      </c>
      <c r="X108" s="1" t="str">
        <f>+INICIO!$B$32</f>
        <v>LATIFOLIADO</v>
      </c>
      <c r="Y108" s="50" t="str">
        <f t="shared" si="8"/>
        <v>DEJAR</v>
      </c>
      <c r="Z108" s="50" t="str">
        <f t="shared" si="9"/>
        <v>DEJAR</v>
      </c>
      <c r="AA108" s="50" t="str">
        <f t="shared" si="10"/>
        <v>DEJAR</v>
      </c>
      <c r="AB108" s="50" t="str">
        <f t="shared" si="11"/>
        <v>DEJAR</v>
      </c>
      <c r="AC108" s="52">
        <f t="shared" si="12"/>
        <v>1.5349853121366268</v>
      </c>
      <c r="AD108" s="52">
        <f t="shared" si="13"/>
        <v>30.699706242732535</v>
      </c>
      <c r="AE108" s="52">
        <f>+IF(X108=INICIO!$B$31,0.15991*D108^2.32764,AND(X108=INICIO!$B$32)*0.13657*D108^2.38351)</f>
        <v>17749.785435046426</v>
      </c>
      <c r="AF108" s="52">
        <f t="shared" si="14"/>
        <v>354995.70870092849</v>
      </c>
      <c r="AG108" s="52">
        <f>+AE108/1000*INICIO!$D$50</f>
        <v>8.3423991544718206</v>
      </c>
      <c r="AH108" s="52">
        <f>+AF108/1000*INICIO!$D$50</f>
        <v>166.84798308943638</v>
      </c>
      <c r="AI108" s="55">
        <f>+IF(X108=INICIO!$B$31,IF(D108&lt;=82,0.15991*D108^2.32764, 0.15991*82^2.32764),AND(X108=INICIO!$B$32)*IF(D108&lt;=79.9,0.13657*D108^2.38351,0.13657*79.9^2.38351))</f>
        <v>4678.370186681871</v>
      </c>
      <c r="AJ108" s="56">
        <f t="shared" si="15"/>
        <v>93567.403733637417</v>
      </c>
      <c r="AK108" s="56">
        <f>+AI108/1000*INICIO!$D$50</f>
        <v>2.1988339877404792</v>
      </c>
      <c r="AL108" s="56">
        <f>+AJ108/1000*INICIO!$D$50</f>
        <v>43.976679754809588</v>
      </c>
      <c r="AM108" s="57" t="str">
        <f>+INICIO!$C$30</f>
        <v>UVG_B_Kg</v>
      </c>
    </row>
    <row r="109" spans="1:39" ht="15" x14ac:dyDescent="0.25">
      <c r="A109" s="24">
        <v>10</v>
      </c>
      <c r="B109" s="25">
        <f>'1BASE'!A109</f>
        <v>5</v>
      </c>
      <c r="C109" s="24">
        <f>'1BASE'!B109</f>
        <v>0</v>
      </c>
      <c r="D109" s="26">
        <f>'1BASE'!C109</f>
        <v>26</v>
      </c>
      <c r="E109" s="27">
        <f>'1BASE'!D109</f>
        <v>0</v>
      </c>
      <c r="F109" s="27">
        <f>'1BASE'!E109</f>
        <v>0</v>
      </c>
      <c r="G109" s="27"/>
      <c r="H109" s="26">
        <f>'1BASE'!F109</f>
        <v>6</v>
      </c>
      <c r="I109" s="24">
        <f>'1BASE'!G109</f>
        <v>0</v>
      </c>
      <c r="J109" s="24">
        <f>'1BASE'!H109</f>
        <v>0</v>
      </c>
      <c r="K109" s="24"/>
      <c r="L109" s="24"/>
      <c r="M109" s="24"/>
      <c r="N109" s="24"/>
      <c r="O109" s="24"/>
      <c r="P109" s="24"/>
      <c r="Q109" s="24"/>
      <c r="R109" s="24"/>
      <c r="S109" s="5"/>
      <c r="T109" s="5"/>
      <c r="U109" s="1" t="s">
        <v>96</v>
      </c>
      <c r="V109" s="11">
        <v>0.05</v>
      </c>
      <c r="W109" s="1">
        <f>+INICIO!$C$34</f>
        <v>2014</v>
      </c>
      <c r="X109" s="1" t="str">
        <f>+INICIO!$B$32</f>
        <v>LATIFOLIADO</v>
      </c>
      <c r="Y109" s="50" t="str">
        <f t="shared" si="8"/>
        <v>DEJAR</v>
      </c>
      <c r="Z109" s="50" t="str">
        <f t="shared" si="9"/>
        <v>DEJAR</v>
      </c>
      <c r="AA109" s="50" t="str">
        <f t="shared" si="10"/>
        <v>DEJAR</v>
      </c>
      <c r="AB109" s="50" t="str">
        <f t="shared" si="11"/>
        <v>DEJAR</v>
      </c>
      <c r="AC109" s="52">
        <f t="shared" si="12"/>
        <v>5.3092915845667513E-2</v>
      </c>
      <c r="AD109" s="52">
        <f t="shared" si="13"/>
        <v>1.0618583169133502</v>
      </c>
      <c r="AE109" s="52">
        <f>+IF(X109=INICIO!$B$31,0.15991*D109^2.32764,AND(X109=INICIO!$B$32)*0.13657*D109^2.38351)</f>
        <v>322.0760520178971</v>
      </c>
      <c r="AF109" s="52">
        <f t="shared" si="14"/>
        <v>6441.5210403579413</v>
      </c>
      <c r="AG109" s="52">
        <f>+AE109/1000*INICIO!$D$50</f>
        <v>0.15137574444841162</v>
      </c>
      <c r="AH109" s="52">
        <f>+AF109/1000*INICIO!$D$50</f>
        <v>3.0275148889682324</v>
      </c>
      <c r="AI109" s="55">
        <f>+IF(X109=INICIO!$B$31,IF(D109&lt;=82,0.15991*D109^2.32764, 0.15991*82^2.32764),AND(X109=INICIO!$B$32)*IF(D109&lt;=79.9,0.13657*D109^2.38351,0.13657*79.9^2.38351))</f>
        <v>322.0760520178971</v>
      </c>
      <c r="AJ109" s="56">
        <f t="shared" si="15"/>
        <v>6441.5210403579413</v>
      </c>
      <c r="AK109" s="56">
        <f>+AI109/1000*INICIO!$D$50</f>
        <v>0.15137574444841162</v>
      </c>
      <c r="AL109" s="56">
        <f>+AJ109/1000*INICIO!$D$50</f>
        <v>3.0275148889682324</v>
      </c>
      <c r="AM109" s="57" t="str">
        <f>+INICIO!$C$30</f>
        <v>UVG_B_Kg</v>
      </c>
    </row>
    <row r="110" spans="1:39" ht="15" x14ac:dyDescent="0.25">
      <c r="A110" s="24">
        <v>10</v>
      </c>
      <c r="B110" s="25">
        <f>'1BASE'!A110</f>
        <v>6</v>
      </c>
      <c r="C110" s="24">
        <f>'1BASE'!B110</f>
        <v>0</v>
      </c>
      <c r="D110" s="26">
        <f>'1BASE'!C110</f>
        <v>16.600000000000001</v>
      </c>
      <c r="E110" s="27">
        <f>'1BASE'!D110</f>
        <v>0</v>
      </c>
      <c r="F110" s="27">
        <f>'1BASE'!E110</f>
        <v>0</v>
      </c>
      <c r="G110" s="27"/>
      <c r="H110" s="26">
        <f>'1BASE'!F110</f>
        <v>4</v>
      </c>
      <c r="I110" s="24">
        <f>'1BASE'!G110</f>
        <v>0</v>
      </c>
      <c r="J110" s="24">
        <f>'1BASE'!H110</f>
        <v>0</v>
      </c>
      <c r="K110" s="24"/>
      <c r="L110" s="24"/>
      <c r="M110" s="24"/>
      <c r="N110" s="24"/>
      <c r="O110" s="24"/>
      <c r="P110" s="24"/>
      <c r="Q110" s="24"/>
      <c r="R110" s="24"/>
      <c r="S110" s="5"/>
      <c r="T110" s="5"/>
      <c r="U110" s="1" t="s">
        <v>96</v>
      </c>
      <c r="V110" s="11">
        <v>0.05</v>
      </c>
      <c r="W110" s="1">
        <f>+INICIO!$C$34</f>
        <v>2014</v>
      </c>
      <c r="X110" s="1" t="str">
        <f>+INICIO!$B$32</f>
        <v>LATIFOLIADO</v>
      </c>
      <c r="Y110" s="50" t="str">
        <f t="shared" si="8"/>
        <v>DEJAR</v>
      </c>
      <c r="Z110" s="50" t="str">
        <f t="shared" si="9"/>
        <v>DEJAR</v>
      </c>
      <c r="AA110" s="50" t="str">
        <f t="shared" si="10"/>
        <v>DEJAR</v>
      </c>
      <c r="AB110" s="50" t="str">
        <f t="shared" si="11"/>
        <v>DEJAR</v>
      </c>
      <c r="AC110" s="52">
        <f t="shared" si="12"/>
        <v>2.1642431790580088E-2</v>
      </c>
      <c r="AD110" s="52">
        <f t="shared" si="13"/>
        <v>0.43284863581160171</v>
      </c>
      <c r="AE110" s="52">
        <f>+IF(X110=INICIO!$B$31,0.15991*D110^2.32764,AND(X110=INICIO!$B$32)*0.13657*D110^2.38351)</f>
        <v>110.53380957149615</v>
      </c>
      <c r="AF110" s="52">
        <f t="shared" si="14"/>
        <v>2210.6761914299227</v>
      </c>
      <c r="AG110" s="52">
        <f>+AE110/1000*INICIO!$D$50</f>
        <v>5.1950890498603186E-2</v>
      </c>
      <c r="AH110" s="52">
        <f>+AF110/1000*INICIO!$D$50</f>
        <v>1.0390178099720637</v>
      </c>
      <c r="AI110" s="55">
        <f>+IF(X110=INICIO!$B$31,IF(D110&lt;=82,0.15991*D110^2.32764, 0.15991*82^2.32764),AND(X110=INICIO!$B$32)*IF(D110&lt;=79.9,0.13657*D110^2.38351,0.13657*79.9^2.38351))</f>
        <v>110.53380957149615</v>
      </c>
      <c r="AJ110" s="56">
        <f t="shared" si="15"/>
        <v>2210.6761914299227</v>
      </c>
      <c r="AK110" s="56">
        <f>+AI110/1000*INICIO!$D$50</f>
        <v>5.1950890498603186E-2</v>
      </c>
      <c r="AL110" s="56">
        <f>+AJ110/1000*INICIO!$D$50</f>
        <v>1.0390178099720637</v>
      </c>
      <c r="AM110" s="57" t="str">
        <f>+INICIO!$C$30</f>
        <v>UVG_B_Kg</v>
      </c>
    </row>
    <row r="111" spans="1:39" ht="15" x14ac:dyDescent="0.25">
      <c r="A111" s="24">
        <v>10</v>
      </c>
      <c r="B111" s="25">
        <f>'1BASE'!A111</f>
        <v>7</v>
      </c>
      <c r="C111" s="24">
        <f>'1BASE'!B111</f>
        <v>0</v>
      </c>
      <c r="D111" s="26">
        <f>'1BASE'!C111</f>
        <v>13.5</v>
      </c>
      <c r="E111" s="27">
        <f>'1BASE'!D111</f>
        <v>0</v>
      </c>
      <c r="F111" s="27">
        <f>'1BASE'!E111</f>
        <v>0</v>
      </c>
      <c r="G111" s="27"/>
      <c r="H111" s="26">
        <f>'1BASE'!F111</f>
        <v>3.5</v>
      </c>
      <c r="I111" s="24">
        <f>'1BASE'!G111</f>
        <v>0</v>
      </c>
      <c r="J111" s="24">
        <f>'1BASE'!H111</f>
        <v>0</v>
      </c>
      <c r="K111" s="24"/>
      <c r="L111" s="24"/>
      <c r="M111" s="24"/>
      <c r="N111" s="24"/>
      <c r="O111" s="24"/>
      <c r="P111" s="24"/>
      <c r="Q111" s="24"/>
      <c r="R111" s="24"/>
      <c r="S111" s="5"/>
      <c r="T111" s="5"/>
      <c r="U111" s="1" t="s">
        <v>96</v>
      </c>
      <c r="V111" s="11">
        <v>0.05</v>
      </c>
      <c r="W111" s="1">
        <f>+INICIO!$C$34</f>
        <v>2014</v>
      </c>
      <c r="X111" s="1" t="str">
        <f>+INICIO!$B$32</f>
        <v>LATIFOLIADO</v>
      </c>
      <c r="Y111" s="50" t="str">
        <f t="shared" si="8"/>
        <v>DEJAR</v>
      </c>
      <c r="Z111" s="50" t="str">
        <f t="shared" si="9"/>
        <v>DEJAR</v>
      </c>
      <c r="AA111" s="50" t="str">
        <f t="shared" si="10"/>
        <v>DEJAR</v>
      </c>
      <c r="AB111" s="50" t="str">
        <f t="shared" si="11"/>
        <v>DEJAR</v>
      </c>
      <c r="AC111" s="52">
        <f t="shared" si="12"/>
        <v>1.4313881527918496E-2</v>
      </c>
      <c r="AD111" s="52">
        <f t="shared" si="13"/>
        <v>0.28627763055836991</v>
      </c>
      <c r="AE111" s="52">
        <f>+IF(X111=INICIO!$B$31,0.15991*D111^2.32764,AND(X111=INICIO!$B$32)*0.13657*D111^2.38351)</f>
        <v>67.533172179763213</v>
      </c>
      <c r="AF111" s="52">
        <f t="shared" si="14"/>
        <v>1350.6634435952642</v>
      </c>
      <c r="AG111" s="52">
        <f>+AE111/1000*INICIO!$D$50</f>
        <v>3.1740590924488707E-2</v>
      </c>
      <c r="AH111" s="52">
        <f>+AF111/1000*INICIO!$D$50</f>
        <v>0.63481181848977419</v>
      </c>
      <c r="AI111" s="55">
        <f>+IF(X111=INICIO!$B$31,IF(D111&lt;=82,0.15991*D111^2.32764, 0.15991*82^2.32764),AND(X111=INICIO!$B$32)*IF(D111&lt;=79.9,0.13657*D111^2.38351,0.13657*79.9^2.38351))</f>
        <v>67.533172179763213</v>
      </c>
      <c r="AJ111" s="56">
        <f t="shared" si="15"/>
        <v>1350.6634435952642</v>
      </c>
      <c r="AK111" s="56">
        <f>+AI111/1000*INICIO!$D$50</f>
        <v>3.1740590924488707E-2</v>
      </c>
      <c r="AL111" s="56">
        <f>+AJ111/1000*INICIO!$D$50</f>
        <v>0.63481181848977419</v>
      </c>
      <c r="AM111" s="57" t="str">
        <f>+INICIO!$C$30</f>
        <v>UVG_B_Kg</v>
      </c>
    </row>
    <row r="112" spans="1:39" ht="15" x14ac:dyDescent="0.25">
      <c r="A112" s="24">
        <v>10</v>
      </c>
      <c r="B112" s="25">
        <f>'1BASE'!A112</f>
        <v>8</v>
      </c>
      <c r="C112" s="24">
        <f>'1BASE'!B112</f>
        <v>0</v>
      </c>
      <c r="D112" s="26">
        <f>'1BASE'!C112</f>
        <v>12.7</v>
      </c>
      <c r="E112" s="27">
        <f>'1BASE'!D112</f>
        <v>0</v>
      </c>
      <c r="F112" s="27">
        <f>'1BASE'!E112</f>
        <v>0</v>
      </c>
      <c r="G112" s="27"/>
      <c r="H112" s="26">
        <f>'1BASE'!F112</f>
        <v>5</v>
      </c>
      <c r="I112" s="24">
        <f>'1BASE'!G112</f>
        <v>0</v>
      </c>
      <c r="J112" s="24">
        <f>'1BASE'!H112</f>
        <v>0</v>
      </c>
      <c r="K112" s="24"/>
      <c r="L112" s="24"/>
      <c r="M112" s="24"/>
      <c r="N112" s="24"/>
      <c r="O112" s="24"/>
      <c r="P112" s="24"/>
      <c r="Q112" s="24"/>
      <c r="R112" s="24"/>
      <c r="S112" s="5"/>
      <c r="T112" s="5"/>
      <c r="U112" s="1" t="s">
        <v>96</v>
      </c>
      <c r="V112" s="11">
        <v>0.05</v>
      </c>
      <c r="W112" s="1">
        <f>+INICIO!$C$34</f>
        <v>2014</v>
      </c>
      <c r="X112" s="1" t="str">
        <f>+INICIO!$B$32</f>
        <v>LATIFOLIADO</v>
      </c>
      <c r="Y112" s="50" t="str">
        <f t="shared" si="8"/>
        <v>DEJAR</v>
      </c>
      <c r="Z112" s="50" t="str">
        <f t="shared" si="9"/>
        <v>DEJAR</v>
      </c>
      <c r="AA112" s="50" t="str">
        <f t="shared" si="10"/>
        <v>DEJAR</v>
      </c>
      <c r="AB112" s="50" t="str">
        <f t="shared" si="11"/>
        <v>DEJAR</v>
      </c>
      <c r="AC112" s="52">
        <f t="shared" si="12"/>
        <v>1.2667686977437444E-2</v>
      </c>
      <c r="AD112" s="52">
        <f t="shared" si="13"/>
        <v>0.25335373954874885</v>
      </c>
      <c r="AE112" s="52">
        <f>+IF(X112=INICIO!$B$31,0.15991*D112^2.32764,AND(X112=INICIO!$B$32)*0.13657*D112^2.38351)</f>
        <v>58.382476924743543</v>
      </c>
      <c r="AF112" s="52">
        <f t="shared" si="14"/>
        <v>1167.6495384948707</v>
      </c>
      <c r="AG112" s="52">
        <f>+AE112/1000*INICIO!$D$50</f>
        <v>2.7439764154629464E-2</v>
      </c>
      <c r="AH112" s="52">
        <f>+AF112/1000*INICIO!$D$50</f>
        <v>0.54879528309258918</v>
      </c>
      <c r="AI112" s="55">
        <f>+IF(X112=INICIO!$B$31,IF(D112&lt;=82,0.15991*D112^2.32764, 0.15991*82^2.32764),AND(X112=INICIO!$B$32)*IF(D112&lt;=79.9,0.13657*D112^2.38351,0.13657*79.9^2.38351))</f>
        <v>58.382476924743543</v>
      </c>
      <c r="AJ112" s="56">
        <f t="shared" si="15"/>
        <v>1167.6495384948707</v>
      </c>
      <c r="AK112" s="56">
        <f>+AI112/1000*INICIO!$D$50</f>
        <v>2.7439764154629464E-2</v>
      </c>
      <c r="AL112" s="56">
        <f>+AJ112/1000*INICIO!$D$50</f>
        <v>0.54879528309258918</v>
      </c>
      <c r="AM112" s="57" t="str">
        <f>+INICIO!$C$30</f>
        <v>UVG_B_Kg</v>
      </c>
    </row>
    <row r="113" spans="1:39" ht="15" x14ac:dyDescent="0.25">
      <c r="A113" s="24">
        <v>10</v>
      </c>
      <c r="B113" s="25">
        <f>'1BASE'!A113</f>
        <v>9</v>
      </c>
      <c r="C113" s="24">
        <f>'1BASE'!B113</f>
        <v>0</v>
      </c>
      <c r="D113" s="26">
        <f>'1BASE'!C113</f>
        <v>16.8</v>
      </c>
      <c r="E113" s="27">
        <f>'1BASE'!D113</f>
        <v>0</v>
      </c>
      <c r="F113" s="27">
        <f>'1BASE'!E113</f>
        <v>0</v>
      </c>
      <c r="G113" s="27"/>
      <c r="H113" s="26">
        <f>'1BASE'!F113</f>
        <v>3.5</v>
      </c>
      <c r="I113" s="24">
        <f>'1BASE'!G113</f>
        <v>0</v>
      </c>
      <c r="J113" s="24">
        <f>'1BASE'!H113</f>
        <v>0</v>
      </c>
      <c r="K113" s="24"/>
      <c r="L113" s="24"/>
      <c r="M113" s="24"/>
      <c r="N113" s="24"/>
      <c r="O113" s="24"/>
      <c r="P113" s="24"/>
      <c r="Q113" s="24"/>
      <c r="R113" s="24"/>
      <c r="S113" s="5"/>
      <c r="T113" s="5"/>
      <c r="U113" s="1" t="s">
        <v>96</v>
      </c>
      <c r="V113" s="11">
        <v>0.05</v>
      </c>
      <c r="W113" s="1">
        <f>+INICIO!$C$34</f>
        <v>2014</v>
      </c>
      <c r="X113" s="1" t="str">
        <f>+INICIO!$B$32</f>
        <v>LATIFOLIADO</v>
      </c>
      <c r="Y113" s="50" t="str">
        <f t="shared" si="8"/>
        <v>DEJAR</v>
      </c>
      <c r="Z113" s="50" t="str">
        <f t="shared" si="9"/>
        <v>DEJAR</v>
      </c>
      <c r="AA113" s="50" t="str">
        <f t="shared" si="10"/>
        <v>DEJAR</v>
      </c>
      <c r="AB113" s="50" t="str">
        <f t="shared" si="11"/>
        <v>DEJAR</v>
      </c>
      <c r="AC113" s="52">
        <f t="shared" si="12"/>
        <v>2.2167077763729583E-2</v>
      </c>
      <c r="AD113" s="52">
        <f t="shared" si="13"/>
        <v>0.44334155527459163</v>
      </c>
      <c r="AE113" s="52">
        <f>+IF(X113=INICIO!$B$31,0.15991*D113^2.32764,AND(X113=INICIO!$B$32)*0.13657*D113^2.38351)</f>
        <v>113.734503348727</v>
      </c>
      <c r="AF113" s="52">
        <f t="shared" si="14"/>
        <v>2274.6900669745401</v>
      </c>
      <c r="AG113" s="52">
        <f>+AE113/1000*INICIO!$D$50</f>
        <v>5.345521657390169E-2</v>
      </c>
      <c r="AH113" s="52">
        <f>+AF113/1000*INICIO!$D$50</f>
        <v>1.0691043314780337</v>
      </c>
      <c r="AI113" s="55">
        <f>+IF(X113=INICIO!$B$31,IF(D113&lt;=82,0.15991*D113^2.32764, 0.15991*82^2.32764),AND(X113=INICIO!$B$32)*IF(D113&lt;=79.9,0.13657*D113^2.38351,0.13657*79.9^2.38351))</f>
        <v>113.734503348727</v>
      </c>
      <c r="AJ113" s="56">
        <f t="shared" si="15"/>
        <v>2274.6900669745401</v>
      </c>
      <c r="AK113" s="56">
        <f>+AI113/1000*INICIO!$D$50</f>
        <v>5.345521657390169E-2</v>
      </c>
      <c r="AL113" s="56">
        <f>+AJ113/1000*INICIO!$D$50</f>
        <v>1.0691043314780337</v>
      </c>
      <c r="AM113" s="57" t="str">
        <f>+INICIO!$C$30</f>
        <v>UVG_B_Kg</v>
      </c>
    </row>
    <row r="114" spans="1:39" ht="15" x14ac:dyDescent="0.25">
      <c r="A114" s="24">
        <v>10</v>
      </c>
      <c r="B114" s="25">
        <f>'1BASE'!A114</f>
        <v>10</v>
      </c>
      <c r="C114" s="24" t="str">
        <f>'1BASE'!B114</f>
        <v>Guarumo</v>
      </c>
      <c r="D114" s="26">
        <f>'1BASE'!C114</f>
        <v>4.3</v>
      </c>
      <c r="E114" s="27">
        <f>'1BASE'!D114</f>
        <v>23</v>
      </c>
      <c r="F114" s="27">
        <f>'1BASE'!E114</f>
        <v>115</v>
      </c>
      <c r="G114" s="32">
        <f>(TAN(RADIANS(E114))*20)+(TAN(RADIANS(F114))*20)</f>
        <v>-34.400642085999095</v>
      </c>
      <c r="H114" s="26">
        <f>'1BASE'!F114</f>
        <v>4</v>
      </c>
      <c r="I114" s="24">
        <f>'1BASE'!G114</f>
        <v>0</v>
      </c>
      <c r="J114" s="24">
        <f>'1BASE'!H114</f>
        <v>0</v>
      </c>
      <c r="K114" s="24"/>
      <c r="L114" s="24"/>
      <c r="M114" s="24"/>
      <c r="N114" s="24"/>
      <c r="O114" s="24"/>
      <c r="P114" s="24"/>
      <c r="Q114" s="24"/>
      <c r="R114" s="24"/>
      <c r="S114" s="5"/>
      <c r="T114" s="5"/>
      <c r="U114" s="1" t="s">
        <v>96</v>
      </c>
      <c r="V114" s="11">
        <v>0.05</v>
      </c>
      <c r="W114" s="1">
        <f>+INICIO!$C$34</f>
        <v>2014</v>
      </c>
      <c r="X114" s="1" t="str">
        <f>+INICIO!$B$32</f>
        <v>LATIFOLIADO</v>
      </c>
      <c r="Y114" s="50" t="str">
        <f t="shared" si="8"/>
        <v>DEPURAR</v>
      </c>
      <c r="Z114" s="50" t="str">
        <f t="shared" si="9"/>
        <v>DEJAR</v>
      </c>
      <c r="AA114" s="50" t="str">
        <f t="shared" si="10"/>
        <v>DEPURAR</v>
      </c>
      <c r="AB114" s="50" t="str">
        <f t="shared" si="11"/>
        <v>DEPURAR</v>
      </c>
      <c r="AC114" s="52">
        <f t="shared" si="12"/>
        <v>1.4522012041218817E-3</v>
      </c>
      <c r="AD114" s="52">
        <f t="shared" si="13"/>
        <v>2.9044024082437631E-2</v>
      </c>
      <c r="AE114" s="52">
        <f>+IF(X114=INICIO!$B$31,0.15991*D114^2.32764,AND(X114=INICIO!$B$32)*0.13657*D114^2.38351)</f>
        <v>4.4180813470183633</v>
      </c>
      <c r="AF114" s="52">
        <f t="shared" si="14"/>
        <v>88.361626940367259</v>
      </c>
      <c r="AG114" s="52">
        <f>+AE114/1000*INICIO!$D$50</f>
        <v>2.0764982330986306E-3</v>
      </c>
      <c r="AH114" s="52">
        <f>+AF114/1000*INICIO!$D$50</f>
        <v>4.1529964661972604E-2</v>
      </c>
      <c r="AI114" s="55">
        <f>+IF(X114=INICIO!$B$31,IF(D114&lt;=82,0.15991*D114^2.32764, 0.15991*82^2.32764),AND(X114=INICIO!$B$32)*IF(D114&lt;=79.9,0.13657*D114^2.38351,0.13657*79.9^2.38351))</f>
        <v>4.4180813470183633</v>
      </c>
      <c r="AJ114" s="56">
        <f t="shared" si="15"/>
        <v>88.361626940367259</v>
      </c>
      <c r="AK114" s="56">
        <f>+AI114/1000*INICIO!$D$50</f>
        <v>2.0764982330986306E-3</v>
      </c>
      <c r="AL114" s="56">
        <f>+AJ114/1000*INICIO!$D$50</f>
        <v>4.1529964661972604E-2</v>
      </c>
      <c r="AM114" s="57" t="str">
        <f>+INICIO!$C$30</f>
        <v>UVG_B_Kg</v>
      </c>
    </row>
    <row r="115" spans="1:39" ht="15" x14ac:dyDescent="0.25">
      <c r="A115" s="24">
        <v>10</v>
      </c>
      <c r="B115" s="25">
        <f>'1BASE'!A115</f>
        <v>11</v>
      </c>
      <c r="C115" s="24">
        <f>'1BASE'!B115</f>
        <v>0</v>
      </c>
      <c r="D115" s="26">
        <f>'1BASE'!C115</f>
        <v>14.8</v>
      </c>
      <c r="E115" s="27">
        <f>'1BASE'!D115</f>
        <v>0</v>
      </c>
      <c r="F115" s="27">
        <f>'1BASE'!E115</f>
        <v>0</v>
      </c>
      <c r="G115" s="27"/>
      <c r="H115" s="26">
        <f>'1BASE'!F115</f>
        <v>6</v>
      </c>
      <c r="I115" s="24">
        <f>'1BASE'!G115</f>
        <v>0</v>
      </c>
      <c r="J115" s="24">
        <f>'1BASE'!H115</f>
        <v>0</v>
      </c>
      <c r="K115" s="24"/>
      <c r="L115" s="24"/>
      <c r="M115" s="24"/>
      <c r="N115" s="24"/>
      <c r="O115" s="24"/>
      <c r="P115" s="24"/>
      <c r="Q115" s="24"/>
      <c r="R115" s="24"/>
      <c r="S115" s="5"/>
      <c r="T115" s="5"/>
      <c r="U115" s="1" t="s">
        <v>96</v>
      </c>
      <c r="V115" s="11">
        <v>0.05</v>
      </c>
      <c r="W115" s="1">
        <f>+INICIO!$C$34</f>
        <v>2014</v>
      </c>
      <c r="X115" s="1" t="str">
        <f>+INICIO!$B$32</f>
        <v>LATIFOLIADO</v>
      </c>
      <c r="Y115" s="50" t="str">
        <f t="shared" si="8"/>
        <v>DEJAR</v>
      </c>
      <c r="Z115" s="50" t="str">
        <f t="shared" si="9"/>
        <v>DEJAR</v>
      </c>
      <c r="AA115" s="50" t="str">
        <f t="shared" si="10"/>
        <v>DEJAR</v>
      </c>
      <c r="AB115" s="50" t="str">
        <f t="shared" si="11"/>
        <v>DEJAR</v>
      </c>
      <c r="AC115" s="52">
        <f t="shared" si="12"/>
        <v>1.7203361371057713E-2</v>
      </c>
      <c r="AD115" s="52">
        <f t="shared" si="13"/>
        <v>0.34406722742115425</v>
      </c>
      <c r="AE115" s="52">
        <f>+IF(X115=INICIO!$B$31,0.15991*D115^2.32764,AND(X115=INICIO!$B$32)*0.13657*D115^2.38351)</f>
        <v>84.078665642218951</v>
      </c>
      <c r="AF115" s="52">
        <f t="shared" si="14"/>
        <v>1681.573312844379</v>
      </c>
      <c r="AG115" s="52">
        <f>+AE115/1000*INICIO!$D$50</f>
        <v>3.9516972851842906E-2</v>
      </c>
      <c r="AH115" s="52">
        <f>+AF115/1000*INICIO!$D$50</f>
        <v>0.79033945703685815</v>
      </c>
      <c r="AI115" s="55">
        <f>+IF(X115=INICIO!$B$31,IF(D115&lt;=82,0.15991*D115^2.32764, 0.15991*82^2.32764),AND(X115=INICIO!$B$32)*IF(D115&lt;=79.9,0.13657*D115^2.38351,0.13657*79.9^2.38351))</f>
        <v>84.078665642218951</v>
      </c>
      <c r="AJ115" s="56">
        <f t="shared" si="15"/>
        <v>1681.573312844379</v>
      </c>
      <c r="AK115" s="56">
        <f>+AI115/1000*INICIO!$D$50</f>
        <v>3.9516972851842906E-2</v>
      </c>
      <c r="AL115" s="56">
        <f>+AJ115/1000*INICIO!$D$50</f>
        <v>0.79033945703685815</v>
      </c>
      <c r="AM115" s="57" t="str">
        <f>+INICIO!$C$30</f>
        <v>UVG_B_Kg</v>
      </c>
    </row>
    <row r="116" spans="1:39" ht="15" x14ac:dyDescent="0.25">
      <c r="A116" s="24">
        <v>10</v>
      </c>
      <c r="B116" s="25">
        <f>'1BASE'!A116</f>
        <v>12</v>
      </c>
      <c r="C116" s="24">
        <f>'1BASE'!B116</f>
        <v>0</v>
      </c>
      <c r="D116" s="26">
        <f>'1BASE'!C116</f>
        <v>22.6</v>
      </c>
      <c r="E116" s="27">
        <f>'1BASE'!D116</f>
        <v>0</v>
      </c>
      <c r="F116" s="27">
        <f>'1BASE'!E116</f>
        <v>0</v>
      </c>
      <c r="G116" s="27"/>
      <c r="H116" s="26">
        <f>'1BASE'!F116</f>
        <v>5</v>
      </c>
      <c r="I116" s="24">
        <f>'1BASE'!G116</f>
        <v>0</v>
      </c>
      <c r="J116" s="24">
        <f>'1BASE'!H116</f>
        <v>0</v>
      </c>
      <c r="K116" s="24"/>
      <c r="L116" s="24"/>
      <c r="M116" s="24"/>
      <c r="N116" s="24"/>
      <c r="O116" s="24"/>
      <c r="P116" s="24"/>
      <c r="Q116" s="24"/>
      <c r="R116" s="24"/>
      <c r="S116" s="5"/>
      <c r="T116" s="5"/>
      <c r="U116" s="1" t="s">
        <v>96</v>
      </c>
      <c r="V116" s="11">
        <v>0.05</v>
      </c>
      <c r="W116" s="1">
        <f>+INICIO!$C$34</f>
        <v>2014</v>
      </c>
      <c r="X116" s="1" t="str">
        <f>+INICIO!$B$32</f>
        <v>LATIFOLIADO</v>
      </c>
      <c r="Y116" s="50" t="str">
        <f t="shared" si="8"/>
        <v>DEJAR</v>
      </c>
      <c r="Z116" s="50" t="str">
        <f t="shared" si="9"/>
        <v>DEJAR</v>
      </c>
      <c r="AA116" s="50" t="str">
        <f t="shared" si="10"/>
        <v>DEJAR</v>
      </c>
      <c r="AB116" s="50" t="str">
        <f t="shared" si="11"/>
        <v>DEJAR</v>
      </c>
      <c r="AC116" s="52">
        <f t="shared" si="12"/>
        <v>4.0114996593688071E-2</v>
      </c>
      <c r="AD116" s="52">
        <f t="shared" si="13"/>
        <v>0.80229993187376136</v>
      </c>
      <c r="AE116" s="52">
        <f>+IF(X116=INICIO!$B$31,0.15991*D116^2.32764,AND(X116=INICIO!$B$32)*0.13657*D116^2.38351)</f>
        <v>230.61434330174126</v>
      </c>
      <c r="AF116" s="52">
        <f t="shared" si="14"/>
        <v>4612.2868660348249</v>
      </c>
      <c r="AG116" s="52">
        <f>+AE116/1000*INICIO!$D$50</f>
        <v>0.10838874135181839</v>
      </c>
      <c r="AH116" s="52">
        <f>+AF116/1000*INICIO!$D$50</f>
        <v>2.1677748270363679</v>
      </c>
      <c r="AI116" s="55">
        <f>+IF(X116=INICIO!$B$31,IF(D116&lt;=82,0.15991*D116^2.32764, 0.15991*82^2.32764),AND(X116=INICIO!$B$32)*IF(D116&lt;=79.9,0.13657*D116^2.38351,0.13657*79.9^2.38351))</f>
        <v>230.61434330174126</v>
      </c>
      <c r="AJ116" s="56">
        <f t="shared" si="15"/>
        <v>4612.2868660348249</v>
      </c>
      <c r="AK116" s="56">
        <f>+AI116/1000*INICIO!$D$50</f>
        <v>0.10838874135181839</v>
      </c>
      <c r="AL116" s="56">
        <f>+AJ116/1000*INICIO!$D$50</f>
        <v>2.1677748270363679</v>
      </c>
      <c r="AM116" s="57" t="str">
        <f>+INICIO!$C$30</f>
        <v>UVG_B_Kg</v>
      </c>
    </row>
    <row r="117" spans="1:39" ht="15" x14ac:dyDescent="0.25">
      <c r="A117" s="24">
        <v>10</v>
      </c>
      <c r="B117" s="25">
        <f>'1BASE'!A117</f>
        <v>13</v>
      </c>
      <c r="C117" s="24">
        <f>'1BASE'!B117</f>
        <v>0</v>
      </c>
      <c r="D117" s="26">
        <f>'1BASE'!C117</f>
        <v>10.1</v>
      </c>
      <c r="E117" s="27">
        <f>'1BASE'!D117</f>
        <v>0</v>
      </c>
      <c r="F117" s="27">
        <f>'1BASE'!E117</f>
        <v>0</v>
      </c>
      <c r="G117" s="27"/>
      <c r="H117" s="26">
        <f>'1BASE'!F117</f>
        <v>2</v>
      </c>
      <c r="I117" s="24">
        <f>'1BASE'!G117</f>
        <v>0</v>
      </c>
      <c r="J117" s="24">
        <f>'1BASE'!H117</f>
        <v>0</v>
      </c>
      <c r="K117" s="24"/>
      <c r="L117" s="24"/>
      <c r="M117" s="24"/>
      <c r="N117" s="24"/>
      <c r="O117" s="24"/>
      <c r="P117" s="24"/>
      <c r="Q117" s="24"/>
      <c r="R117" s="24"/>
      <c r="S117" s="5"/>
      <c r="T117" s="5"/>
      <c r="U117" s="1" t="s">
        <v>96</v>
      </c>
      <c r="V117" s="11">
        <v>0.05</v>
      </c>
      <c r="W117" s="1">
        <f>+INICIO!$C$34</f>
        <v>2014</v>
      </c>
      <c r="X117" s="1" t="str">
        <f>+INICIO!$B$32</f>
        <v>LATIFOLIADO</v>
      </c>
      <c r="Y117" s="50" t="str">
        <f t="shared" si="8"/>
        <v>DEJAR</v>
      </c>
      <c r="Z117" s="50" t="str">
        <f t="shared" si="9"/>
        <v>DEJAR</v>
      </c>
      <c r="AA117" s="50" t="str">
        <f t="shared" si="10"/>
        <v>DEJAR</v>
      </c>
      <c r="AB117" s="50" t="str">
        <f t="shared" si="11"/>
        <v>DEJAR</v>
      </c>
      <c r="AC117" s="52">
        <f t="shared" si="12"/>
        <v>8.0118466648173691E-3</v>
      </c>
      <c r="AD117" s="52">
        <f t="shared" si="13"/>
        <v>0.16023693329634736</v>
      </c>
      <c r="AE117" s="52">
        <f>+IF(X117=INICIO!$B$31,0.15991*D117^2.32764,AND(X117=INICIO!$B$32)*0.13657*D117^2.38351)</f>
        <v>33.819357065313945</v>
      </c>
      <c r="AF117" s="52">
        <f t="shared" si="14"/>
        <v>676.38714130627886</v>
      </c>
      <c r="AG117" s="52">
        <f>+AE117/1000*INICIO!$D$50</f>
        <v>1.5895097820697552E-2</v>
      </c>
      <c r="AH117" s="52">
        <f>+AF117/1000*INICIO!$D$50</f>
        <v>0.31790195641395103</v>
      </c>
      <c r="AI117" s="55">
        <f>+IF(X117=INICIO!$B$31,IF(D117&lt;=82,0.15991*D117^2.32764, 0.15991*82^2.32764),AND(X117=INICIO!$B$32)*IF(D117&lt;=79.9,0.13657*D117^2.38351,0.13657*79.9^2.38351))</f>
        <v>33.819357065313945</v>
      </c>
      <c r="AJ117" s="56">
        <f t="shared" si="15"/>
        <v>676.38714130627886</v>
      </c>
      <c r="AK117" s="56">
        <f>+AI117/1000*INICIO!$D$50</f>
        <v>1.5895097820697552E-2</v>
      </c>
      <c r="AL117" s="56">
        <f>+AJ117/1000*INICIO!$D$50</f>
        <v>0.31790195641395103</v>
      </c>
      <c r="AM117" s="57" t="str">
        <f>+INICIO!$C$30</f>
        <v>UVG_B_Kg</v>
      </c>
    </row>
    <row r="118" spans="1:39" ht="15" x14ac:dyDescent="0.25">
      <c r="A118" s="24">
        <v>10</v>
      </c>
      <c r="B118" s="25">
        <f>'1BASE'!A118</f>
        <v>14</v>
      </c>
      <c r="C118" s="24" t="str">
        <f>'1BASE'!B118</f>
        <v>Clico zap</v>
      </c>
      <c r="D118" s="26">
        <f>'1BASE'!C118</f>
        <v>93</v>
      </c>
      <c r="E118" s="27">
        <f>'1BASE'!D118</f>
        <v>0</v>
      </c>
      <c r="F118" s="27">
        <f>'1BASE'!E118</f>
        <v>0</v>
      </c>
      <c r="G118" s="24"/>
      <c r="H118" s="26">
        <f>'1BASE'!F118</f>
        <v>9.5</v>
      </c>
      <c r="I118" s="24">
        <f>'1BASE'!G118</f>
        <v>0</v>
      </c>
      <c r="J118" s="24">
        <f>'1BASE'!H118</f>
        <v>0</v>
      </c>
      <c r="K118" s="24"/>
      <c r="L118" s="24"/>
      <c r="M118" s="24"/>
      <c r="N118" s="24"/>
      <c r="O118" s="24"/>
      <c r="P118" s="24"/>
      <c r="Q118" s="24"/>
      <c r="R118" s="24"/>
      <c r="S118" s="5"/>
      <c r="T118" s="5"/>
      <c r="U118" s="1" t="s">
        <v>96</v>
      </c>
      <c r="V118" s="11">
        <v>0.05</v>
      </c>
      <c r="W118" s="1">
        <f>+INICIO!$C$34</f>
        <v>2014</v>
      </c>
      <c r="X118" s="1" t="str">
        <f>+INICIO!$B$32</f>
        <v>LATIFOLIADO</v>
      </c>
      <c r="Y118" s="50" t="str">
        <f t="shared" si="8"/>
        <v>DEJAR</v>
      </c>
      <c r="Z118" s="50" t="str">
        <f t="shared" si="9"/>
        <v>DEJAR</v>
      </c>
      <c r="AA118" s="50" t="str">
        <f t="shared" si="10"/>
        <v>DEJAR</v>
      </c>
      <c r="AB118" s="50" t="str">
        <f t="shared" si="11"/>
        <v>DEJAR</v>
      </c>
      <c r="AC118" s="52">
        <f t="shared" si="12"/>
        <v>0.67929087152245315</v>
      </c>
      <c r="AD118" s="52">
        <f t="shared" si="13"/>
        <v>13.585817430449062</v>
      </c>
      <c r="AE118" s="52">
        <f>+IF(X118=INICIO!$B$31,0.15991*D118^2.32764,AND(X118=INICIO!$B$32)*0.13657*D118^2.38351)</f>
        <v>6718.2181535395084</v>
      </c>
      <c r="AF118" s="52">
        <f t="shared" si="14"/>
        <v>134364.36307079016</v>
      </c>
      <c r="AG118" s="52">
        <f>+AE118/1000*INICIO!$D$50</f>
        <v>3.1575625321635687</v>
      </c>
      <c r="AH118" s="52">
        <f>+AF118/1000*INICIO!$D$50</f>
        <v>63.151250643271368</v>
      </c>
      <c r="AI118" s="55">
        <f>+IF(X118=INICIO!$B$31,IF(D118&lt;=82,0.15991*D118^2.32764, 0.15991*82^2.32764),AND(X118=INICIO!$B$32)*IF(D118&lt;=79.9,0.13657*D118^2.38351,0.13657*79.9^2.38351))</f>
        <v>4678.370186681871</v>
      </c>
      <c r="AJ118" s="56">
        <f t="shared" si="15"/>
        <v>93567.403733637417</v>
      </c>
      <c r="AK118" s="56">
        <f>+AI118/1000*INICIO!$D$50</f>
        <v>2.1988339877404792</v>
      </c>
      <c r="AL118" s="56">
        <f>+AJ118/1000*INICIO!$D$50</f>
        <v>43.976679754809588</v>
      </c>
      <c r="AM118" s="57" t="str">
        <f>+INICIO!$C$30</f>
        <v>UVG_B_Kg</v>
      </c>
    </row>
    <row r="119" spans="1:39" ht="15" x14ac:dyDescent="0.25">
      <c r="A119" s="24">
        <v>10</v>
      </c>
      <c r="B119" s="25">
        <f>'1BASE'!A119</f>
        <v>15</v>
      </c>
      <c r="C119" s="24" t="str">
        <f>'1BASE'!B119</f>
        <v>Columna de cocodrilo</v>
      </c>
      <c r="D119" s="26">
        <f>'1BASE'!C119</f>
        <v>10</v>
      </c>
      <c r="E119" s="27">
        <f>'1BASE'!D119</f>
        <v>0</v>
      </c>
      <c r="F119" s="27">
        <f>'1BASE'!E119</f>
        <v>0</v>
      </c>
      <c r="G119" s="24"/>
      <c r="H119" s="26">
        <f>'1BASE'!F119</f>
        <v>1.3</v>
      </c>
      <c r="I119" s="24">
        <f>'1BASE'!G119</f>
        <v>0</v>
      </c>
      <c r="J119" s="24">
        <f>'1BASE'!H119</f>
        <v>0</v>
      </c>
      <c r="K119" s="24"/>
      <c r="L119" s="24"/>
      <c r="M119" s="24"/>
      <c r="N119" s="24"/>
      <c r="O119" s="24"/>
      <c r="P119" s="24"/>
      <c r="Q119" s="24"/>
      <c r="R119" s="24"/>
      <c r="S119" s="5"/>
      <c r="T119" s="5"/>
      <c r="U119" s="1" t="s">
        <v>96</v>
      </c>
      <c r="V119" s="11">
        <v>0.05</v>
      </c>
      <c r="W119" s="1">
        <f>+INICIO!$C$34</f>
        <v>2014</v>
      </c>
      <c r="X119" s="1" t="str">
        <f>+INICIO!$B$32</f>
        <v>LATIFOLIADO</v>
      </c>
      <c r="Y119" s="50" t="str">
        <f t="shared" si="8"/>
        <v>DEJAR</v>
      </c>
      <c r="Z119" s="50" t="str">
        <f t="shared" si="9"/>
        <v>DEJAR</v>
      </c>
      <c r="AA119" s="50" t="str">
        <f t="shared" si="10"/>
        <v>DEJAR</v>
      </c>
      <c r="AB119" s="50" t="str">
        <f t="shared" si="11"/>
        <v>DEJAR</v>
      </c>
      <c r="AC119" s="52">
        <f t="shared" si="12"/>
        <v>7.8539816339744835E-3</v>
      </c>
      <c r="AD119" s="52">
        <f t="shared" si="13"/>
        <v>0.15707963267948966</v>
      </c>
      <c r="AE119" s="52">
        <f>+IF(X119=INICIO!$B$31,0.15991*D119^2.32764,AND(X119=INICIO!$B$32)*0.13657*D119^2.38351)</f>
        <v>33.026709725455305</v>
      </c>
      <c r="AF119" s="52">
        <f t="shared" si="14"/>
        <v>660.5341945091061</v>
      </c>
      <c r="AG119" s="52">
        <f>+AE119/1000*INICIO!$D$50</f>
        <v>1.5522553570963995E-2</v>
      </c>
      <c r="AH119" s="52">
        <f>+AF119/1000*INICIO!$D$50</f>
        <v>0.31045107141927986</v>
      </c>
      <c r="AI119" s="55">
        <f>+IF(X119=INICIO!$B$31,IF(D119&lt;=82,0.15991*D119^2.32764, 0.15991*82^2.32764),AND(X119=INICIO!$B$32)*IF(D119&lt;=79.9,0.13657*D119^2.38351,0.13657*79.9^2.38351))</f>
        <v>33.026709725455305</v>
      </c>
      <c r="AJ119" s="56">
        <f t="shared" si="15"/>
        <v>660.5341945091061</v>
      </c>
      <c r="AK119" s="56">
        <f>+AI119/1000*INICIO!$D$50</f>
        <v>1.5522553570963995E-2</v>
      </c>
      <c r="AL119" s="56">
        <f>+AJ119/1000*INICIO!$D$50</f>
        <v>0.31045107141927986</v>
      </c>
      <c r="AM119" s="57" t="str">
        <f>+INICIO!$C$30</f>
        <v>UVG_B_Kg</v>
      </c>
    </row>
    <row r="120" spans="1:39" ht="15" x14ac:dyDescent="0.25">
      <c r="A120" s="24">
        <v>10</v>
      </c>
      <c r="B120" s="29">
        <f>'1BASE'!A120</f>
        <v>16</v>
      </c>
      <c r="C120" s="30">
        <f>'1BASE'!B120</f>
        <v>0</v>
      </c>
      <c r="D120" s="26">
        <f>'1BASE'!C120</f>
        <v>14.7</v>
      </c>
      <c r="E120" s="27">
        <f>'1BASE'!D120</f>
        <v>0</v>
      </c>
      <c r="F120" s="27">
        <f>'1BASE'!E120</f>
        <v>0</v>
      </c>
      <c r="G120" s="30"/>
      <c r="H120" s="26">
        <f>'1BASE'!F120</f>
        <v>4</v>
      </c>
      <c r="I120" s="24">
        <f>'1BASE'!G120</f>
        <v>0</v>
      </c>
      <c r="J120" s="24">
        <f>'1BASE'!H120</f>
        <v>0</v>
      </c>
      <c r="K120" s="24"/>
      <c r="L120" s="24"/>
      <c r="M120" s="24"/>
      <c r="N120" s="24"/>
      <c r="O120" s="24"/>
      <c r="P120" s="24"/>
      <c r="Q120" s="24"/>
      <c r="R120" s="24"/>
      <c r="S120" s="5"/>
      <c r="T120" s="5"/>
      <c r="U120" s="1" t="s">
        <v>96</v>
      </c>
      <c r="V120" s="11">
        <v>0.05</v>
      </c>
      <c r="W120" s="1">
        <f>+INICIO!$C$34</f>
        <v>2014</v>
      </c>
      <c r="X120" s="1" t="str">
        <f>+INICIO!$B$32</f>
        <v>LATIFOLIADO</v>
      </c>
      <c r="Y120" s="50" t="str">
        <f t="shared" si="8"/>
        <v>DEJAR</v>
      </c>
      <c r="Z120" s="50" t="str">
        <f t="shared" si="9"/>
        <v>DEJAR</v>
      </c>
      <c r="AA120" s="50" t="str">
        <f t="shared" si="10"/>
        <v>DEJAR</v>
      </c>
      <c r="AB120" s="50" t="str">
        <f t="shared" si="11"/>
        <v>DEJAR</v>
      </c>
      <c r="AC120" s="52">
        <f t="shared" si="12"/>
        <v>1.6971668912855457E-2</v>
      </c>
      <c r="AD120" s="52">
        <f t="shared" si="13"/>
        <v>0.33943337825710912</v>
      </c>
      <c r="AE120" s="52">
        <f>+IF(X120=INICIO!$B$31,0.15991*D120^2.32764,AND(X120=INICIO!$B$32)*0.13657*D120^2.38351)</f>
        <v>82.730919252623252</v>
      </c>
      <c r="AF120" s="52">
        <f t="shared" si="14"/>
        <v>1654.6183850524649</v>
      </c>
      <c r="AG120" s="52">
        <f>+AE120/1000*INICIO!$D$50</f>
        <v>3.8883532048732926E-2</v>
      </c>
      <c r="AH120" s="52">
        <f>+AF120/1000*INICIO!$D$50</f>
        <v>0.77767064097465843</v>
      </c>
      <c r="AI120" s="55">
        <f>+IF(X120=INICIO!$B$31,IF(D120&lt;=82,0.15991*D120^2.32764, 0.15991*82^2.32764),AND(X120=INICIO!$B$32)*IF(D120&lt;=79.9,0.13657*D120^2.38351,0.13657*79.9^2.38351))</f>
        <v>82.730919252623252</v>
      </c>
      <c r="AJ120" s="56">
        <f t="shared" si="15"/>
        <v>1654.6183850524649</v>
      </c>
      <c r="AK120" s="56">
        <f>+AI120/1000*INICIO!$D$50</f>
        <v>3.8883532048732926E-2</v>
      </c>
      <c r="AL120" s="56">
        <f>+AJ120/1000*INICIO!$D$50</f>
        <v>0.77767064097465843</v>
      </c>
      <c r="AM120" s="57" t="str">
        <f>+INICIO!$C$30</f>
        <v>UVG_B_Kg</v>
      </c>
    </row>
    <row r="121" spans="1:39" ht="15" x14ac:dyDescent="0.25">
      <c r="A121" s="24">
        <v>10</v>
      </c>
      <c r="B121" s="29">
        <f>'1BASE'!A121</f>
        <v>17</v>
      </c>
      <c r="C121" s="24" t="str">
        <f>'1BASE'!B121</f>
        <v>Chichipate</v>
      </c>
      <c r="D121" s="26">
        <f>'1BASE'!C121</f>
        <v>44</v>
      </c>
      <c r="E121" s="27">
        <f>'1BASE'!D121</f>
        <v>0</v>
      </c>
      <c r="F121" s="27">
        <f>'1BASE'!E121</f>
        <v>0</v>
      </c>
      <c r="G121" s="24"/>
      <c r="H121" s="26">
        <f>'1BASE'!F121</f>
        <v>7</v>
      </c>
      <c r="I121" s="24">
        <f>'1BASE'!G121</f>
        <v>0</v>
      </c>
      <c r="J121" s="24">
        <f>'1BASE'!H121</f>
        <v>0</v>
      </c>
      <c r="K121" s="24"/>
      <c r="L121" s="24"/>
      <c r="M121" s="24"/>
      <c r="N121" s="24"/>
      <c r="O121" s="24"/>
      <c r="P121" s="24"/>
      <c r="Q121" s="24"/>
      <c r="R121" s="24"/>
      <c r="S121" s="5"/>
      <c r="T121" s="5"/>
      <c r="U121" s="1" t="s">
        <v>96</v>
      </c>
      <c r="V121" s="11">
        <v>0.05</v>
      </c>
      <c r="W121" s="1">
        <f>+INICIO!$C$34</f>
        <v>2014</v>
      </c>
      <c r="X121" s="1" t="str">
        <f>+INICIO!$B$32</f>
        <v>LATIFOLIADO</v>
      </c>
      <c r="Y121" s="50" t="str">
        <f t="shared" si="8"/>
        <v>DEJAR</v>
      </c>
      <c r="Z121" s="50" t="str">
        <f t="shared" si="9"/>
        <v>DEJAR</v>
      </c>
      <c r="AA121" s="50" t="str">
        <f t="shared" si="10"/>
        <v>DEJAR</v>
      </c>
      <c r="AB121" s="50" t="str">
        <f t="shared" si="11"/>
        <v>DEJAR</v>
      </c>
      <c r="AC121" s="52">
        <f t="shared" si="12"/>
        <v>0.15205308443374599</v>
      </c>
      <c r="AD121" s="52">
        <f t="shared" si="13"/>
        <v>3.0410616886749198</v>
      </c>
      <c r="AE121" s="52">
        <f>+IF(X121=INICIO!$B$31,0.15991*D121^2.32764,AND(X121=INICIO!$B$32)*0.13657*D121^2.38351)</f>
        <v>1128.6029947595007</v>
      </c>
      <c r="AF121" s="52">
        <f t="shared" si="14"/>
        <v>22572.059895190014</v>
      </c>
      <c r="AG121" s="52">
        <f>+AE121/1000*INICIO!$D$50</f>
        <v>0.53044340753696528</v>
      </c>
      <c r="AH121" s="52">
        <f>+AF121/1000*INICIO!$D$50</f>
        <v>10.608868150739305</v>
      </c>
      <c r="AI121" s="55">
        <f>+IF(X121=INICIO!$B$31,IF(D121&lt;=82,0.15991*D121^2.32764, 0.15991*82^2.32764),AND(X121=INICIO!$B$32)*IF(D121&lt;=79.9,0.13657*D121^2.38351,0.13657*79.9^2.38351))</f>
        <v>1128.6029947595007</v>
      </c>
      <c r="AJ121" s="56">
        <f t="shared" si="15"/>
        <v>22572.059895190014</v>
      </c>
      <c r="AK121" s="56">
        <f>+AI121/1000*INICIO!$D$50</f>
        <v>0.53044340753696528</v>
      </c>
      <c r="AL121" s="56">
        <f>+AJ121/1000*INICIO!$D$50</f>
        <v>10.608868150739305</v>
      </c>
      <c r="AM121" s="57" t="str">
        <f>+INICIO!$C$30</f>
        <v>UVG_B_Kg</v>
      </c>
    </row>
    <row r="122" spans="1:39" ht="15" x14ac:dyDescent="0.25">
      <c r="A122" s="24">
        <v>10</v>
      </c>
      <c r="B122" s="31">
        <f>'1BASE'!A122</f>
        <v>18</v>
      </c>
      <c r="C122" s="27">
        <f>'1BASE'!B122</f>
        <v>0</v>
      </c>
      <c r="D122" s="26">
        <f>'1BASE'!C122</f>
        <v>11</v>
      </c>
      <c r="E122" s="27">
        <f>'1BASE'!D122</f>
        <v>0</v>
      </c>
      <c r="F122" s="27">
        <f>'1BASE'!E122</f>
        <v>0</v>
      </c>
      <c r="G122" s="27"/>
      <c r="H122" s="26">
        <f>'1BASE'!F122</f>
        <v>0.75</v>
      </c>
      <c r="I122" s="24">
        <f>'1BASE'!G122</f>
        <v>0</v>
      </c>
      <c r="J122" s="24">
        <f>'1BASE'!H122</f>
        <v>0</v>
      </c>
      <c r="K122" s="24"/>
      <c r="L122" s="24"/>
      <c r="M122" s="24"/>
      <c r="N122" s="24"/>
      <c r="O122" s="24"/>
      <c r="P122" s="24"/>
      <c r="Q122" s="24"/>
      <c r="R122" s="24"/>
      <c r="S122" s="5"/>
      <c r="T122" s="5"/>
      <c r="U122" s="1" t="s">
        <v>96</v>
      </c>
      <c r="V122" s="11">
        <v>0.05</v>
      </c>
      <c r="W122" s="1">
        <f>+INICIO!$C$34</f>
        <v>2014</v>
      </c>
      <c r="X122" s="1" t="str">
        <f>+INICIO!$B$32</f>
        <v>LATIFOLIADO</v>
      </c>
      <c r="Y122" s="50" t="str">
        <f t="shared" si="8"/>
        <v>DEJAR</v>
      </c>
      <c r="Z122" s="50" t="str">
        <f t="shared" si="9"/>
        <v>DEJAR</v>
      </c>
      <c r="AA122" s="50" t="str">
        <f t="shared" si="10"/>
        <v>DEJAR</v>
      </c>
      <c r="AB122" s="50" t="str">
        <f t="shared" si="11"/>
        <v>DEJAR</v>
      </c>
      <c r="AC122" s="52">
        <f t="shared" si="12"/>
        <v>9.5033177771091243E-3</v>
      </c>
      <c r="AD122" s="52">
        <f t="shared" si="13"/>
        <v>0.19006635554218249</v>
      </c>
      <c r="AE122" s="52">
        <f>+IF(X122=INICIO!$B$31,0.15991*D122^2.32764,AND(X122=INICIO!$B$32)*0.13657*D122^2.38351)</f>
        <v>41.450062373780455</v>
      </c>
      <c r="AF122" s="52">
        <f t="shared" si="14"/>
        <v>829.00124747560903</v>
      </c>
      <c r="AG122" s="52">
        <f>+AE122/1000*INICIO!$D$50</f>
        <v>1.9481529315676812E-2</v>
      </c>
      <c r="AH122" s="52">
        <f>+AF122/1000*INICIO!$D$50</f>
        <v>0.3896305863135362</v>
      </c>
      <c r="AI122" s="55">
        <f>+IF(X122=INICIO!$B$31,IF(D122&lt;=82,0.15991*D122^2.32764, 0.15991*82^2.32764),AND(X122=INICIO!$B$32)*IF(D122&lt;=79.9,0.13657*D122^2.38351,0.13657*79.9^2.38351))</f>
        <v>41.450062373780455</v>
      </c>
      <c r="AJ122" s="56">
        <f t="shared" si="15"/>
        <v>829.00124747560903</v>
      </c>
      <c r="AK122" s="56">
        <f>+AI122/1000*INICIO!$D$50</f>
        <v>1.9481529315676812E-2</v>
      </c>
      <c r="AL122" s="56">
        <f>+AJ122/1000*INICIO!$D$50</f>
        <v>0.3896305863135362</v>
      </c>
      <c r="AM122" s="57" t="str">
        <f>+INICIO!$C$30</f>
        <v>UVG_B_Kg</v>
      </c>
    </row>
    <row r="123" spans="1:39" ht="15" x14ac:dyDescent="0.25">
      <c r="A123" s="24">
        <v>10</v>
      </c>
      <c r="B123" s="31">
        <f>'1BASE'!A123</f>
        <v>19</v>
      </c>
      <c r="C123" s="27" t="str">
        <f>'1BASE'!B123</f>
        <v>Izote de montaña</v>
      </c>
      <c r="D123" s="26">
        <f>'1BASE'!C123</f>
        <v>43.1</v>
      </c>
      <c r="E123" s="27">
        <f>'1BASE'!D123</f>
        <v>0</v>
      </c>
      <c r="F123" s="27">
        <f>'1BASE'!E123</f>
        <v>0</v>
      </c>
      <c r="G123" s="27"/>
      <c r="H123" s="26">
        <f>'1BASE'!F123</f>
        <v>4.5</v>
      </c>
      <c r="I123" s="24">
        <f>'1BASE'!G123</f>
        <v>0</v>
      </c>
      <c r="J123" s="24">
        <f>'1BASE'!H123</f>
        <v>0</v>
      </c>
      <c r="K123" s="24"/>
      <c r="L123" s="24"/>
      <c r="M123" s="24"/>
      <c r="N123" s="24"/>
      <c r="O123" s="24"/>
      <c r="P123" s="24"/>
      <c r="Q123" s="24"/>
      <c r="R123" s="24"/>
      <c r="S123" s="5"/>
      <c r="T123" s="5"/>
      <c r="U123" s="1" t="s">
        <v>96</v>
      </c>
      <c r="V123" s="11">
        <v>0.05</v>
      </c>
      <c r="W123" s="1">
        <f>+INICIO!$C$34</f>
        <v>2014</v>
      </c>
      <c r="X123" s="1" t="str">
        <f>+INICIO!$B$32</f>
        <v>LATIFOLIADO</v>
      </c>
      <c r="Y123" s="50" t="str">
        <f t="shared" si="8"/>
        <v>DEJAR</v>
      </c>
      <c r="Z123" s="50" t="str">
        <f t="shared" si="9"/>
        <v>DEJAR</v>
      </c>
      <c r="AA123" s="50" t="str">
        <f t="shared" si="10"/>
        <v>DEJAR</v>
      </c>
      <c r="AB123" s="50" t="str">
        <f t="shared" si="11"/>
        <v>DEJAR</v>
      </c>
      <c r="AC123" s="52">
        <f t="shared" si="12"/>
        <v>0.14589634823087338</v>
      </c>
      <c r="AD123" s="52">
        <f t="shared" si="13"/>
        <v>2.9179269646174677</v>
      </c>
      <c r="AE123" s="52">
        <f>+IF(X123=INICIO!$B$31,0.15991*D123^2.32764,AND(X123=INICIO!$B$32)*0.13657*D123^2.38351)</f>
        <v>1074.3560346681909</v>
      </c>
      <c r="AF123" s="52">
        <f t="shared" si="14"/>
        <v>21487.120693363817</v>
      </c>
      <c r="AG123" s="52">
        <f>+AE123/1000*INICIO!$D$50</f>
        <v>0.50494733629404964</v>
      </c>
      <c r="AH123" s="52">
        <f>+AF123/1000*INICIO!$D$50</f>
        <v>10.098946725880994</v>
      </c>
      <c r="AI123" s="55">
        <f>+IF(X123=INICIO!$B$31,IF(D123&lt;=82,0.15991*D123^2.32764, 0.15991*82^2.32764),AND(X123=INICIO!$B$32)*IF(D123&lt;=79.9,0.13657*D123^2.38351,0.13657*79.9^2.38351))</f>
        <v>1074.3560346681909</v>
      </c>
      <c r="AJ123" s="56">
        <f t="shared" si="15"/>
        <v>21487.120693363817</v>
      </c>
      <c r="AK123" s="56">
        <f>+AI123/1000*INICIO!$D$50</f>
        <v>0.50494733629404964</v>
      </c>
      <c r="AL123" s="56">
        <f>+AJ123/1000*INICIO!$D$50</f>
        <v>10.098946725880994</v>
      </c>
      <c r="AM123" s="57" t="str">
        <f>+INICIO!$C$30</f>
        <v>UVG_B_Kg</v>
      </c>
    </row>
    <row r="124" spans="1:39" ht="15" x14ac:dyDescent="0.25">
      <c r="A124" s="24">
        <v>10</v>
      </c>
      <c r="B124" s="31">
        <f>'1BASE'!A124</f>
        <v>20</v>
      </c>
      <c r="C124" s="27" t="str">
        <f>'1BASE'!B124</f>
        <v>Chico zapote</v>
      </c>
      <c r="D124" s="26">
        <f>'1BASE'!C124</f>
        <v>91</v>
      </c>
      <c r="E124" s="27">
        <f>'1BASE'!D124</f>
        <v>0</v>
      </c>
      <c r="F124" s="27">
        <f>'1BASE'!E124</f>
        <v>0</v>
      </c>
      <c r="G124" s="27"/>
      <c r="H124" s="26">
        <f>'1BASE'!F124</f>
        <v>14</v>
      </c>
      <c r="I124" s="24">
        <f>'1BASE'!G124</f>
        <v>0</v>
      </c>
      <c r="J124" s="24">
        <f>'1BASE'!H124</f>
        <v>0</v>
      </c>
      <c r="K124" s="24"/>
      <c r="L124" s="24"/>
      <c r="M124" s="24"/>
      <c r="N124" s="24"/>
      <c r="O124" s="24"/>
      <c r="P124" s="24"/>
      <c r="Q124" s="24"/>
      <c r="R124" s="24"/>
      <c r="S124" s="5"/>
      <c r="T124" s="5"/>
      <c r="U124" s="1" t="s">
        <v>96</v>
      </c>
      <c r="V124" s="11">
        <v>0.05</v>
      </c>
      <c r="W124" s="1">
        <f>+INICIO!$C$34</f>
        <v>2014</v>
      </c>
      <c r="X124" s="1" t="str">
        <f>+INICIO!$B$32</f>
        <v>LATIFOLIADO</v>
      </c>
      <c r="Y124" s="50" t="str">
        <f t="shared" si="8"/>
        <v>DEJAR</v>
      </c>
      <c r="Z124" s="50" t="str">
        <f t="shared" si="9"/>
        <v>DEJAR</v>
      </c>
      <c r="AA124" s="50" t="str">
        <f t="shared" si="10"/>
        <v>DEJAR</v>
      </c>
      <c r="AB124" s="50" t="str">
        <f t="shared" si="11"/>
        <v>DEJAR</v>
      </c>
      <c r="AC124" s="52">
        <f t="shared" si="12"/>
        <v>0.65038821910942701</v>
      </c>
      <c r="AD124" s="52">
        <f t="shared" si="13"/>
        <v>13.00776438218854</v>
      </c>
      <c r="AE124" s="52">
        <f>+IF(X124=INICIO!$B$31,0.15991*D124^2.32764,AND(X124=INICIO!$B$32)*0.13657*D124^2.38351)</f>
        <v>6378.9626373126794</v>
      </c>
      <c r="AF124" s="52">
        <f t="shared" si="14"/>
        <v>127579.25274625358</v>
      </c>
      <c r="AG124" s="52">
        <f>+AE124/1000*INICIO!$D$50</f>
        <v>2.9981124395369592</v>
      </c>
      <c r="AH124" s="52">
        <f>+AF124/1000*INICIO!$D$50</f>
        <v>59.962248790739174</v>
      </c>
      <c r="AI124" s="55">
        <f>+IF(X124=INICIO!$B$31,IF(D124&lt;=82,0.15991*D124^2.32764, 0.15991*82^2.32764),AND(X124=INICIO!$B$32)*IF(D124&lt;=79.9,0.13657*D124^2.38351,0.13657*79.9^2.38351))</f>
        <v>4678.370186681871</v>
      </c>
      <c r="AJ124" s="56">
        <f t="shared" si="15"/>
        <v>93567.403733637417</v>
      </c>
      <c r="AK124" s="56">
        <f>+AI124/1000*INICIO!$D$50</f>
        <v>2.1988339877404792</v>
      </c>
      <c r="AL124" s="56">
        <f>+AJ124/1000*INICIO!$D$50</f>
        <v>43.976679754809588</v>
      </c>
      <c r="AM124" s="57" t="str">
        <f>+INICIO!$C$30</f>
        <v>UVG_B_Kg</v>
      </c>
    </row>
    <row r="125" spans="1:39" ht="15" x14ac:dyDescent="0.25">
      <c r="A125" s="24">
        <v>10</v>
      </c>
      <c r="B125" s="31">
        <f>'1BASE'!A125</f>
        <v>21</v>
      </c>
      <c r="C125" s="24" t="str">
        <f>'1BASE'!B125</f>
        <v>Columna de cocodrilo</v>
      </c>
      <c r="D125" s="26">
        <f>'1BASE'!C125</f>
        <v>11.5</v>
      </c>
      <c r="E125" s="27">
        <f>'1BASE'!D125</f>
        <v>0</v>
      </c>
      <c r="F125" s="27">
        <f>'1BASE'!E125</f>
        <v>0</v>
      </c>
      <c r="G125" s="27"/>
      <c r="H125" s="26">
        <f>'1BASE'!F125</f>
        <v>2.5</v>
      </c>
      <c r="I125" s="24">
        <f>'1BASE'!G125</f>
        <v>0</v>
      </c>
      <c r="J125" s="24">
        <f>'1BASE'!H125</f>
        <v>0</v>
      </c>
      <c r="K125" s="24"/>
      <c r="L125" s="24"/>
      <c r="M125" s="24"/>
      <c r="N125" s="24"/>
      <c r="O125" s="24"/>
      <c r="P125" s="24"/>
      <c r="Q125" s="24"/>
      <c r="R125" s="24"/>
      <c r="S125" s="5"/>
      <c r="T125" s="5"/>
      <c r="U125" s="1" t="s">
        <v>96</v>
      </c>
      <c r="V125" s="11">
        <v>0.05</v>
      </c>
      <c r="W125" s="1">
        <f>+INICIO!$C$34</f>
        <v>2014</v>
      </c>
      <c r="X125" s="1" t="str">
        <f>+INICIO!$B$32</f>
        <v>LATIFOLIADO</v>
      </c>
      <c r="Y125" s="50" t="str">
        <f t="shared" si="8"/>
        <v>DEJAR</v>
      </c>
      <c r="Z125" s="50" t="str">
        <f t="shared" si="9"/>
        <v>DEJAR</v>
      </c>
      <c r="AA125" s="50" t="str">
        <f t="shared" si="10"/>
        <v>DEJAR</v>
      </c>
      <c r="AB125" s="50" t="str">
        <f t="shared" si="11"/>
        <v>DEJAR</v>
      </c>
      <c r="AC125" s="52">
        <f t="shared" si="12"/>
        <v>1.0386890710931254E-2</v>
      </c>
      <c r="AD125" s="52">
        <f t="shared" si="13"/>
        <v>0.20773781421862508</v>
      </c>
      <c r="AE125" s="52">
        <f>+IF(X125=INICIO!$B$31,0.15991*D125^2.32764,AND(X125=INICIO!$B$32)*0.13657*D125^2.38351)</f>
        <v>46.082838181946165</v>
      </c>
      <c r="AF125" s="52">
        <f t="shared" si="14"/>
        <v>921.65676363892328</v>
      </c>
      <c r="AG125" s="52">
        <f>+AE125/1000*INICIO!$D$50</f>
        <v>2.1658933945514696E-2</v>
      </c>
      <c r="AH125" s="52">
        <f>+AF125/1000*INICIO!$D$50</f>
        <v>0.43317867891029388</v>
      </c>
      <c r="AI125" s="55">
        <f>+IF(X125=INICIO!$B$31,IF(D125&lt;=82,0.15991*D125^2.32764, 0.15991*82^2.32764),AND(X125=INICIO!$B$32)*IF(D125&lt;=79.9,0.13657*D125^2.38351,0.13657*79.9^2.38351))</f>
        <v>46.082838181946165</v>
      </c>
      <c r="AJ125" s="56">
        <f t="shared" si="15"/>
        <v>921.65676363892328</v>
      </c>
      <c r="AK125" s="56">
        <f>+AI125/1000*INICIO!$D$50</f>
        <v>2.1658933945514696E-2</v>
      </c>
      <c r="AL125" s="56">
        <f>+AJ125/1000*INICIO!$D$50</f>
        <v>0.43317867891029388</v>
      </c>
      <c r="AM125" s="57" t="str">
        <f>+INICIO!$C$30</f>
        <v>UVG_B_Kg</v>
      </c>
    </row>
    <row r="126" spans="1:39" ht="15" x14ac:dyDescent="0.25">
      <c r="A126" s="24">
        <v>10</v>
      </c>
      <c r="B126" s="31">
        <f>'1BASE'!A126</f>
        <v>22</v>
      </c>
      <c r="C126" s="27" t="str">
        <f>'1BASE'!B126</f>
        <v>Zapotillo</v>
      </c>
      <c r="D126" s="26">
        <f>'1BASE'!C126</f>
        <v>17.2</v>
      </c>
      <c r="E126" s="27">
        <f>'1BASE'!D126</f>
        <v>0</v>
      </c>
      <c r="F126" s="27">
        <f>'1BASE'!E126</f>
        <v>0</v>
      </c>
      <c r="G126" s="27"/>
      <c r="H126" s="26">
        <f>'1BASE'!F126</f>
        <v>3.2</v>
      </c>
      <c r="I126" s="24">
        <f>'1BASE'!G126</f>
        <v>0</v>
      </c>
      <c r="J126" s="24">
        <f>'1BASE'!H126</f>
        <v>0</v>
      </c>
      <c r="K126" s="24"/>
      <c r="L126" s="24"/>
      <c r="M126" s="24"/>
      <c r="N126" s="24"/>
      <c r="O126" s="24"/>
      <c r="P126" s="24"/>
      <c r="Q126" s="24"/>
      <c r="R126" s="24"/>
      <c r="S126" s="5"/>
      <c r="T126" s="5"/>
      <c r="U126" s="1" t="s">
        <v>96</v>
      </c>
      <c r="V126" s="11">
        <v>0.05</v>
      </c>
      <c r="W126" s="1">
        <f>+INICIO!$C$34</f>
        <v>2014</v>
      </c>
      <c r="X126" s="1" t="str">
        <f>+INICIO!$B$32</f>
        <v>LATIFOLIADO</v>
      </c>
      <c r="Y126" s="50" t="str">
        <f t="shared" si="8"/>
        <v>DEJAR</v>
      </c>
      <c r="Z126" s="50" t="str">
        <f t="shared" si="9"/>
        <v>DEJAR</v>
      </c>
      <c r="AA126" s="50" t="str">
        <f t="shared" si="10"/>
        <v>DEJAR</v>
      </c>
      <c r="AB126" s="50" t="str">
        <f t="shared" si="11"/>
        <v>DEJAR</v>
      </c>
      <c r="AC126" s="52">
        <f t="shared" si="12"/>
        <v>2.3235219265950107E-2</v>
      </c>
      <c r="AD126" s="52">
        <f t="shared" si="13"/>
        <v>0.4647043853190021</v>
      </c>
      <c r="AE126" s="52">
        <f>+IF(X126=INICIO!$B$31,0.15991*D126^2.32764,AND(X126=INICIO!$B$32)*0.13657*D126^2.38351)</f>
        <v>120.29559314945965</v>
      </c>
      <c r="AF126" s="52">
        <f t="shared" si="14"/>
        <v>2405.9118629891927</v>
      </c>
      <c r="AG126" s="52">
        <f>+AE126/1000*INICIO!$D$50</f>
        <v>5.653892878024603E-2</v>
      </c>
      <c r="AH126" s="52">
        <f>+AF126/1000*INICIO!$D$50</f>
        <v>1.1307785756049205</v>
      </c>
      <c r="AI126" s="55">
        <f>+IF(X126=INICIO!$B$31,IF(D126&lt;=82,0.15991*D126^2.32764, 0.15991*82^2.32764),AND(X126=INICIO!$B$32)*IF(D126&lt;=79.9,0.13657*D126^2.38351,0.13657*79.9^2.38351))</f>
        <v>120.29559314945965</v>
      </c>
      <c r="AJ126" s="56">
        <f t="shared" si="15"/>
        <v>2405.9118629891927</v>
      </c>
      <c r="AK126" s="56">
        <f>+AI126/1000*INICIO!$D$50</f>
        <v>5.653892878024603E-2</v>
      </c>
      <c r="AL126" s="56">
        <f>+AJ126/1000*INICIO!$D$50</f>
        <v>1.1307785756049205</v>
      </c>
      <c r="AM126" s="57" t="str">
        <f>+INICIO!$C$30</f>
        <v>UVG_B_Kg</v>
      </c>
    </row>
    <row r="127" spans="1:39" ht="15" x14ac:dyDescent="0.25">
      <c r="A127" s="24">
        <v>10</v>
      </c>
      <c r="B127" s="31">
        <f>'1BASE'!A127</f>
        <v>23</v>
      </c>
      <c r="C127" s="27">
        <f>'1BASE'!B127</f>
        <v>0</v>
      </c>
      <c r="D127" s="26">
        <f>'1BASE'!C127</f>
        <v>22.5</v>
      </c>
      <c r="E127" s="27">
        <f>'1BASE'!D127</f>
        <v>22</v>
      </c>
      <c r="F127" s="27">
        <f>'1BASE'!E127</f>
        <v>105</v>
      </c>
      <c r="G127" s="32">
        <f>(TAN(RADIANS(E127))*20)+(TAN(RADIANS(F127))*20)</f>
        <v>-66.560491634674392</v>
      </c>
      <c r="H127" s="26">
        <f>'1BASE'!F127</f>
        <v>7</v>
      </c>
      <c r="I127" s="24">
        <f>'1BASE'!G127</f>
        <v>0</v>
      </c>
      <c r="J127" s="24">
        <f>'1BASE'!H127</f>
        <v>0</v>
      </c>
      <c r="K127" s="24"/>
      <c r="L127" s="24"/>
      <c r="M127" s="24"/>
      <c r="N127" s="24"/>
      <c r="O127" s="24"/>
      <c r="P127" s="24"/>
      <c r="Q127" s="24"/>
      <c r="R127" s="24"/>
      <c r="S127" s="5"/>
      <c r="T127" s="5"/>
      <c r="U127" s="1" t="s">
        <v>96</v>
      </c>
      <c r="V127" s="11">
        <v>0.05</v>
      </c>
      <c r="W127" s="1">
        <f>+INICIO!$C$34</f>
        <v>2014</v>
      </c>
      <c r="X127" s="1" t="str">
        <f>+INICIO!$B$32</f>
        <v>LATIFOLIADO</v>
      </c>
      <c r="Y127" s="50" t="str">
        <f t="shared" si="8"/>
        <v>DEJAR</v>
      </c>
      <c r="Z127" s="50" t="str">
        <f t="shared" si="9"/>
        <v>DEJAR</v>
      </c>
      <c r="AA127" s="50" t="str">
        <f t="shared" si="10"/>
        <v>DEJAR</v>
      </c>
      <c r="AB127" s="50" t="str">
        <f t="shared" si="11"/>
        <v>DEJAR</v>
      </c>
      <c r="AC127" s="52">
        <f t="shared" si="12"/>
        <v>3.9760782021995823E-2</v>
      </c>
      <c r="AD127" s="52">
        <f t="shared" si="13"/>
        <v>0.79521564043991644</v>
      </c>
      <c r="AE127" s="52">
        <f>+IF(X127=INICIO!$B$31,0.15991*D127^2.32764,AND(X127=INICIO!$B$32)*0.13657*D127^2.38351)</f>
        <v>228.1896084504572</v>
      </c>
      <c r="AF127" s="52">
        <f t="shared" si="14"/>
        <v>4563.7921690091434</v>
      </c>
      <c r="AG127" s="52">
        <f>+AE127/1000*INICIO!$D$50</f>
        <v>0.10724911597171487</v>
      </c>
      <c r="AH127" s="52">
        <f>+AF127/1000*INICIO!$D$50</f>
        <v>2.1449823194342974</v>
      </c>
      <c r="AI127" s="55">
        <f>+IF(X127=INICIO!$B$31,IF(D127&lt;=82,0.15991*D127^2.32764, 0.15991*82^2.32764),AND(X127=INICIO!$B$32)*IF(D127&lt;=79.9,0.13657*D127^2.38351,0.13657*79.9^2.38351))</f>
        <v>228.1896084504572</v>
      </c>
      <c r="AJ127" s="56">
        <f t="shared" si="15"/>
        <v>4563.7921690091434</v>
      </c>
      <c r="AK127" s="56">
        <f>+AI127/1000*INICIO!$D$50</f>
        <v>0.10724911597171487</v>
      </c>
      <c r="AL127" s="56">
        <f>+AJ127/1000*INICIO!$D$50</f>
        <v>2.1449823194342974</v>
      </c>
      <c r="AM127" s="57" t="str">
        <f>+INICIO!$C$30</f>
        <v>UVG_B_Kg</v>
      </c>
    </row>
    <row r="128" spans="1:39" ht="15" x14ac:dyDescent="0.25">
      <c r="A128" s="24">
        <v>10</v>
      </c>
      <c r="B128" s="31">
        <f>'1BASE'!A128</f>
        <v>24</v>
      </c>
      <c r="C128" s="27" t="str">
        <f>'1BASE'!B128</f>
        <v>Sunsa</v>
      </c>
      <c r="D128" s="26">
        <f>'1BASE'!C128</f>
        <v>56.1</v>
      </c>
      <c r="E128" s="27">
        <f>'1BASE'!D128</f>
        <v>0</v>
      </c>
      <c r="F128" s="27">
        <f>'1BASE'!E128</f>
        <v>0</v>
      </c>
      <c r="G128" s="27"/>
      <c r="H128" s="26">
        <f>'1BASE'!F128</f>
        <v>10</v>
      </c>
      <c r="I128" s="24">
        <f>'1BASE'!G128</f>
        <v>0</v>
      </c>
      <c r="J128" s="24">
        <f>'1BASE'!H128</f>
        <v>0</v>
      </c>
      <c r="K128" s="24"/>
      <c r="L128" s="24"/>
      <c r="M128" s="24"/>
      <c r="N128" s="24"/>
      <c r="O128" s="24"/>
      <c r="P128" s="24"/>
      <c r="Q128" s="24"/>
      <c r="R128" s="24"/>
      <c r="S128" s="5"/>
      <c r="T128" s="5"/>
      <c r="U128" s="1" t="s">
        <v>96</v>
      </c>
      <c r="V128" s="11">
        <v>0.05</v>
      </c>
      <c r="W128" s="1">
        <f>+INICIO!$C$34</f>
        <v>2014</v>
      </c>
      <c r="X128" s="1" t="str">
        <f>+INICIO!$B$32</f>
        <v>LATIFOLIADO</v>
      </c>
      <c r="Y128" s="50" t="str">
        <f t="shared" si="8"/>
        <v>DEJAR</v>
      </c>
      <c r="Z128" s="50" t="str">
        <f t="shared" si="9"/>
        <v>DEJAR</v>
      </c>
      <c r="AA128" s="50" t="str">
        <f t="shared" si="10"/>
        <v>DEJAR</v>
      </c>
      <c r="AB128" s="50" t="str">
        <f t="shared" si="11"/>
        <v>DEJAR</v>
      </c>
      <c r="AC128" s="52">
        <f t="shared" si="12"/>
        <v>0.24718129538260838</v>
      </c>
      <c r="AD128" s="52">
        <f t="shared" si="13"/>
        <v>4.9436259076521676</v>
      </c>
      <c r="AE128" s="52">
        <f>+IF(X128=INICIO!$B$31,0.15991*D128^2.32764,AND(X128=INICIO!$B$32)*0.13657*D128^2.38351)</f>
        <v>2013.8437840057661</v>
      </c>
      <c r="AF128" s="52">
        <f t="shared" si="14"/>
        <v>40276.875680115321</v>
      </c>
      <c r="AG128" s="52">
        <f>+AE128/1000*INICIO!$D$50</f>
        <v>0.94650657848271003</v>
      </c>
      <c r="AH128" s="52">
        <f>+AF128/1000*INICIO!$D$50</f>
        <v>18.930131569654201</v>
      </c>
      <c r="AI128" s="55">
        <f>+IF(X128=INICIO!$B$31,IF(D128&lt;=82,0.15991*D128^2.32764, 0.15991*82^2.32764),AND(X128=INICIO!$B$32)*IF(D128&lt;=79.9,0.13657*D128^2.38351,0.13657*79.9^2.38351))</f>
        <v>2013.8437840057661</v>
      </c>
      <c r="AJ128" s="56">
        <f t="shared" si="15"/>
        <v>40276.875680115321</v>
      </c>
      <c r="AK128" s="56">
        <f>+AI128/1000*INICIO!$D$50</f>
        <v>0.94650657848271003</v>
      </c>
      <c r="AL128" s="56">
        <f>+AJ128/1000*INICIO!$D$50</f>
        <v>18.930131569654201</v>
      </c>
      <c r="AM128" s="57" t="str">
        <f>+INICIO!$C$30</f>
        <v>UVG_B_Kg</v>
      </c>
    </row>
    <row r="129" spans="1:39" ht="15" x14ac:dyDescent="0.25">
      <c r="A129" s="24">
        <v>11</v>
      </c>
      <c r="B129" s="25">
        <f>'1BASE'!A129</f>
        <v>1</v>
      </c>
      <c r="C129" s="24">
        <f>'1BASE'!B129</f>
        <v>0</v>
      </c>
      <c r="D129" s="26">
        <f>'1BASE'!C129</f>
        <v>62.4</v>
      </c>
      <c r="E129" s="27">
        <f>'1BASE'!D129</f>
        <v>55</v>
      </c>
      <c r="F129" s="27">
        <f>'1BASE'!E129</f>
        <v>110</v>
      </c>
      <c r="G129" s="32">
        <f>(TAN(RADIANS(E129))*20)+(TAN(RADIANS(F129))*20)</f>
        <v>-26.38658825425016</v>
      </c>
      <c r="H129" s="26">
        <f>'1BASE'!F129</f>
        <v>8</v>
      </c>
      <c r="I129" s="22" t="str">
        <f>'1BASE'!G129</f>
        <v>88° 39' 3.2''</v>
      </c>
      <c r="J129" s="22" t="str">
        <f>'1BASE'!H129</f>
        <v>15° 40' 59.2''</v>
      </c>
      <c r="K129" s="24" t="str">
        <f>LEFT(I129,2)</f>
        <v>88</v>
      </c>
      <c r="L129" s="24" t="str">
        <f>+LEFT(RIGHT(I129,10),2)</f>
        <v xml:space="preserve"> 3</v>
      </c>
      <c r="M129" s="24" t="str">
        <f>+LEFT(RIGHT(I129,6),4)</f>
        <v xml:space="preserve"> 3.2</v>
      </c>
      <c r="N129" s="24">
        <f>(K129+((L129+(M129/60)/60)/60))*-1</f>
        <v>-88.050014814814816</v>
      </c>
      <c r="O129" s="24" t="str">
        <f>LEFT(J129,2)</f>
        <v>15</v>
      </c>
      <c r="P129" s="24" t="str">
        <f>+LEFT(RIGHT(J129,10),2)</f>
        <v>40</v>
      </c>
      <c r="Q129" s="24" t="str">
        <f>+LEFT(RIGHT(J129,6),4)</f>
        <v>59.2</v>
      </c>
      <c r="R129" s="24">
        <f>O129+((P129+(Q129/60)/60)/60)</f>
        <v>15.66694074074074</v>
      </c>
      <c r="S129" s="11">
        <v>698326.676477</v>
      </c>
      <c r="T129" s="11">
        <v>1733306.19408</v>
      </c>
      <c r="U129" s="1" t="s">
        <v>96</v>
      </c>
      <c r="V129" s="11">
        <v>0.05</v>
      </c>
      <c r="W129" s="1">
        <f>+INICIO!$C$34</f>
        <v>2014</v>
      </c>
      <c r="X129" s="1" t="str">
        <f>+INICIO!$B$32</f>
        <v>LATIFOLIADO</v>
      </c>
      <c r="Y129" s="50" t="str">
        <f t="shared" si="8"/>
        <v>DEJAR</v>
      </c>
      <c r="Z129" s="50" t="str">
        <f t="shared" si="9"/>
        <v>DEJAR</v>
      </c>
      <c r="AA129" s="50" t="str">
        <f t="shared" si="10"/>
        <v>DEJAR</v>
      </c>
      <c r="AB129" s="50" t="str">
        <f t="shared" si="11"/>
        <v>DEJAR</v>
      </c>
      <c r="AC129" s="52">
        <f t="shared" si="12"/>
        <v>0.30581519527104484</v>
      </c>
      <c r="AD129" s="52">
        <f t="shared" si="13"/>
        <v>6.1163039054208967</v>
      </c>
      <c r="AE129" s="52">
        <f>+IF(X129=INICIO!$B$31,0.15991*D129^2.32764,AND(X129=INICIO!$B$32)*0.13657*D129^2.38351)</f>
        <v>2595.3487878519632</v>
      </c>
      <c r="AF129" s="52">
        <f t="shared" si="14"/>
        <v>51906.975757039261</v>
      </c>
      <c r="AG129" s="52">
        <f>+AE129/1000*INICIO!$D$50</f>
        <v>1.2198139302904227</v>
      </c>
      <c r="AH129" s="52">
        <f>+AF129/1000*INICIO!$D$50</f>
        <v>24.396278605808451</v>
      </c>
      <c r="AI129" s="55">
        <f>+IF(X129=INICIO!$B$31,IF(D129&lt;=82,0.15991*D129^2.32764, 0.15991*82^2.32764),AND(X129=INICIO!$B$32)*IF(D129&lt;=79.9,0.13657*D129^2.38351,0.13657*79.9^2.38351))</f>
        <v>2595.3487878519632</v>
      </c>
      <c r="AJ129" s="56">
        <f t="shared" si="15"/>
        <v>51906.975757039261</v>
      </c>
      <c r="AK129" s="56">
        <f>+AI129/1000*INICIO!$D$50</f>
        <v>1.2198139302904227</v>
      </c>
      <c r="AL129" s="56">
        <f>+AJ129/1000*INICIO!$D$50</f>
        <v>24.396278605808451</v>
      </c>
      <c r="AM129" s="57" t="str">
        <f>+INICIO!$C$30</f>
        <v>UVG_B_Kg</v>
      </c>
    </row>
    <row r="130" spans="1:39" ht="15" x14ac:dyDescent="0.25">
      <c r="A130" s="24">
        <v>11</v>
      </c>
      <c r="B130" s="25">
        <f>'1BASE'!A130</f>
        <v>2</v>
      </c>
      <c r="C130" s="24">
        <f>'1BASE'!B130</f>
        <v>0</v>
      </c>
      <c r="D130" s="26">
        <f>'1BASE'!C130</f>
        <v>16.100000000000001</v>
      </c>
      <c r="E130" s="27">
        <f>'1BASE'!D130</f>
        <v>0</v>
      </c>
      <c r="F130" s="27">
        <f>'1BASE'!E130</f>
        <v>0</v>
      </c>
      <c r="G130" s="27"/>
      <c r="H130" s="26">
        <f>'1BASE'!F130</f>
        <v>2.5</v>
      </c>
      <c r="I130" s="24">
        <f>'1BASE'!G130</f>
        <v>0</v>
      </c>
      <c r="J130" s="24">
        <f>'1BASE'!H130</f>
        <v>0</v>
      </c>
      <c r="K130" s="24"/>
      <c r="L130" s="24"/>
      <c r="M130" s="24"/>
      <c r="N130" s="24"/>
      <c r="O130" s="24"/>
      <c r="P130" s="24"/>
      <c r="Q130" s="24"/>
      <c r="R130" s="24"/>
      <c r="S130" s="5"/>
      <c r="T130" s="5"/>
      <c r="U130" s="1" t="s">
        <v>96</v>
      </c>
      <c r="V130" s="11">
        <v>0.05</v>
      </c>
      <c r="W130" s="1">
        <f>+INICIO!$C$34</f>
        <v>2014</v>
      </c>
      <c r="X130" s="1" t="str">
        <f>+INICIO!$B$32</f>
        <v>LATIFOLIADO</v>
      </c>
      <c r="Y130" s="50" t="str">
        <f t="shared" si="8"/>
        <v>DEJAR</v>
      </c>
      <c r="Z130" s="50" t="str">
        <f t="shared" si="9"/>
        <v>DEJAR</v>
      </c>
      <c r="AA130" s="50" t="str">
        <f t="shared" si="10"/>
        <v>DEJAR</v>
      </c>
      <c r="AB130" s="50" t="str">
        <f t="shared" si="11"/>
        <v>DEJAR</v>
      </c>
      <c r="AC130" s="52">
        <f t="shared" si="12"/>
        <v>2.035830579342526E-2</v>
      </c>
      <c r="AD130" s="52">
        <f t="shared" si="13"/>
        <v>0.40716611586850515</v>
      </c>
      <c r="AE130" s="52">
        <f>+IF(X130=INICIO!$B$31,0.15991*D130^2.32764,AND(X130=INICIO!$B$32)*0.13657*D130^2.38351)</f>
        <v>102.76301866541384</v>
      </c>
      <c r="AF130" s="52">
        <f t="shared" si="14"/>
        <v>2055.2603733082765</v>
      </c>
      <c r="AG130" s="52">
        <f>+AE130/1000*INICIO!$D$50</f>
        <v>4.8298618772744502E-2</v>
      </c>
      <c r="AH130" s="52">
        <f>+AF130/1000*INICIO!$D$50</f>
        <v>0.9659723754548899</v>
      </c>
      <c r="AI130" s="55">
        <f>+IF(X130=INICIO!$B$31,IF(D130&lt;=82,0.15991*D130^2.32764, 0.15991*82^2.32764),AND(X130=INICIO!$B$32)*IF(D130&lt;=79.9,0.13657*D130^2.38351,0.13657*79.9^2.38351))</f>
        <v>102.76301866541384</v>
      </c>
      <c r="AJ130" s="56">
        <f t="shared" si="15"/>
        <v>2055.2603733082765</v>
      </c>
      <c r="AK130" s="56">
        <f>+AI130/1000*INICIO!$D$50</f>
        <v>4.8298618772744502E-2</v>
      </c>
      <c r="AL130" s="56">
        <f>+AJ130/1000*INICIO!$D$50</f>
        <v>0.9659723754548899</v>
      </c>
      <c r="AM130" s="57" t="str">
        <f>+INICIO!$C$30</f>
        <v>UVG_B_Kg</v>
      </c>
    </row>
    <row r="131" spans="1:39" ht="15" x14ac:dyDescent="0.25">
      <c r="A131" s="24">
        <v>11</v>
      </c>
      <c r="B131" s="25">
        <f>'1BASE'!A131</f>
        <v>3</v>
      </c>
      <c r="C131" s="24">
        <f>'1BASE'!B131</f>
        <v>0</v>
      </c>
      <c r="D131" s="26">
        <f>'1BASE'!C131</f>
        <v>10</v>
      </c>
      <c r="E131" s="27">
        <f>'1BASE'!D131</f>
        <v>0</v>
      </c>
      <c r="F131" s="27">
        <f>'1BASE'!E131</f>
        <v>0</v>
      </c>
      <c r="G131" s="27"/>
      <c r="H131" s="26">
        <f>'1BASE'!F131</f>
        <v>3.25</v>
      </c>
      <c r="I131" s="24">
        <f>'1BASE'!G131</f>
        <v>0</v>
      </c>
      <c r="J131" s="24">
        <f>'1BASE'!H131</f>
        <v>0</v>
      </c>
      <c r="K131" s="24"/>
      <c r="L131" s="24"/>
      <c r="M131" s="24"/>
      <c r="N131" s="24"/>
      <c r="O131" s="24"/>
      <c r="P131" s="24"/>
      <c r="Q131" s="24"/>
      <c r="R131" s="24"/>
      <c r="S131" s="5"/>
      <c r="T131" s="5"/>
      <c r="U131" s="1" t="s">
        <v>96</v>
      </c>
      <c r="V131" s="11">
        <v>0.05</v>
      </c>
      <c r="W131" s="1">
        <f>+INICIO!$C$34</f>
        <v>2014</v>
      </c>
      <c r="X131" s="1" t="str">
        <f>+INICIO!$B$32</f>
        <v>LATIFOLIADO</v>
      </c>
      <c r="Y131" s="50" t="str">
        <f t="shared" ref="Y131:Y194" si="16">+IF(D131&gt;=10,"DEJAR","DEPURAR")</f>
        <v>DEJAR</v>
      </c>
      <c r="Z131" s="50" t="str">
        <f t="shared" ref="Z131:Z194" si="17">+IF(OR(G131&gt;=5,G131=0,G131&lt;=0),"DEJAR","DEPURAR")</f>
        <v>DEJAR</v>
      </c>
      <c r="AA131" s="50" t="str">
        <f t="shared" ref="AA131:AA194" si="18">+IF(AND(Y131="DEJAR"),"DEJAR","DEPURAR")</f>
        <v>DEJAR</v>
      </c>
      <c r="AB131" s="50" t="str">
        <f t="shared" ref="AB131:AB194" si="19">+IF(AND(Y131="DEJAR"),"DEJAR","DEPURAR")</f>
        <v>DEJAR</v>
      </c>
      <c r="AC131" s="52">
        <f t="shared" ref="AC131:AC194" si="20">+PI()/4*(POWER((D131/100),2))</f>
        <v>7.8539816339744835E-3</v>
      </c>
      <c r="AD131" s="52">
        <f t="shared" ref="AD131:AD194" si="21">+AC131/V131</f>
        <v>0.15707963267948966</v>
      </c>
      <c r="AE131" s="52">
        <f>+IF(X131=INICIO!$B$31,0.15991*D131^2.32764,AND(X131=INICIO!$B$32)*0.13657*D131^2.38351)</f>
        <v>33.026709725455305</v>
      </c>
      <c r="AF131" s="52">
        <f t="shared" ref="AF131:AF194" si="22">+AE131*1/V131</f>
        <v>660.5341945091061</v>
      </c>
      <c r="AG131" s="52">
        <f>+AE131/1000*INICIO!$D$50</f>
        <v>1.5522553570963995E-2</v>
      </c>
      <c r="AH131" s="52">
        <f>+AF131/1000*INICIO!$D$50</f>
        <v>0.31045107141927986</v>
      </c>
      <c r="AI131" s="55">
        <f>+IF(X131=INICIO!$B$31,IF(D131&lt;=82,0.15991*D131^2.32764, 0.15991*82^2.32764),AND(X131=INICIO!$B$32)*IF(D131&lt;=79.9,0.13657*D131^2.38351,0.13657*79.9^2.38351))</f>
        <v>33.026709725455305</v>
      </c>
      <c r="AJ131" s="56">
        <f t="shared" ref="AJ131:AJ194" si="23">+AI131*1/V131</f>
        <v>660.5341945091061</v>
      </c>
      <c r="AK131" s="56">
        <f>+AI131/1000*INICIO!$D$50</f>
        <v>1.5522553570963995E-2</v>
      </c>
      <c r="AL131" s="56">
        <f>+AJ131/1000*INICIO!$D$50</f>
        <v>0.31045107141927986</v>
      </c>
      <c r="AM131" s="57" t="str">
        <f>+INICIO!$C$30</f>
        <v>UVG_B_Kg</v>
      </c>
    </row>
    <row r="132" spans="1:39" ht="15" x14ac:dyDescent="0.25">
      <c r="A132" s="24">
        <v>11</v>
      </c>
      <c r="B132" s="25">
        <f>'1BASE'!A132</f>
        <v>4</v>
      </c>
      <c r="C132" s="24">
        <f>'1BASE'!B132</f>
        <v>0</v>
      </c>
      <c r="D132" s="26">
        <f>'1BASE'!C132</f>
        <v>72</v>
      </c>
      <c r="E132" s="27">
        <f>'1BASE'!D132</f>
        <v>0</v>
      </c>
      <c r="F132" s="27">
        <f>'1BASE'!E132</f>
        <v>0</v>
      </c>
      <c r="G132" s="27"/>
      <c r="H132" s="26">
        <f>'1BASE'!F132</f>
        <v>6</v>
      </c>
      <c r="I132" s="24">
        <f>'1BASE'!G132</f>
        <v>0</v>
      </c>
      <c r="J132" s="24">
        <f>'1BASE'!H132</f>
        <v>0</v>
      </c>
      <c r="K132" s="24"/>
      <c r="L132" s="24"/>
      <c r="M132" s="24"/>
      <c r="N132" s="24"/>
      <c r="O132" s="24"/>
      <c r="P132" s="24"/>
      <c r="Q132" s="24"/>
      <c r="R132" s="24"/>
      <c r="S132" s="5"/>
      <c r="T132" s="5"/>
      <c r="U132" s="1" t="s">
        <v>96</v>
      </c>
      <c r="V132" s="11">
        <v>0.05</v>
      </c>
      <c r="W132" s="1">
        <f>+INICIO!$C$34</f>
        <v>2014</v>
      </c>
      <c r="X132" s="1" t="str">
        <f>+INICIO!$B$32</f>
        <v>LATIFOLIADO</v>
      </c>
      <c r="Y132" s="50" t="str">
        <f t="shared" si="16"/>
        <v>DEJAR</v>
      </c>
      <c r="Z132" s="50" t="str">
        <f t="shared" si="17"/>
        <v>DEJAR</v>
      </c>
      <c r="AA132" s="50" t="str">
        <f t="shared" si="18"/>
        <v>DEJAR</v>
      </c>
      <c r="AB132" s="50" t="str">
        <f t="shared" si="19"/>
        <v>DEJAR</v>
      </c>
      <c r="AC132" s="52">
        <f t="shared" si="20"/>
        <v>0.40715040790523715</v>
      </c>
      <c r="AD132" s="52">
        <f t="shared" si="21"/>
        <v>8.1430081581047418</v>
      </c>
      <c r="AE132" s="52">
        <f>+IF(X132=INICIO!$B$31,0.15991*D132^2.32764,AND(X132=INICIO!$B$32)*0.13657*D132^2.38351)</f>
        <v>3650.2775546092148</v>
      </c>
      <c r="AF132" s="52">
        <f t="shared" si="22"/>
        <v>73005.551092184294</v>
      </c>
      <c r="AG132" s="52">
        <f>+AE132/1000*INICIO!$D$50</f>
        <v>1.7156304506663309</v>
      </c>
      <c r="AH132" s="52">
        <f>+AF132/1000*INICIO!$D$50</f>
        <v>34.312609013326615</v>
      </c>
      <c r="AI132" s="55">
        <f>+IF(X132=INICIO!$B$31,IF(D132&lt;=82,0.15991*D132^2.32764, 0.15991*82^2.32764),AND(X132=INICIO!$B$32)*IF(D132&lt;=79.9,0.13657*D132^2.38351,0.13657*79.9^2.38351))</f>
        <v>3650.2775546092148</v>
      </c>
      <c r="AJ132" s="56">
        <f t="shared" si="23"/>
        <v>73005.551092184294</v>
      </c>
      <c r="AK132" s="56">
        <f>+AI132/1000*INICIO!$D$50</f>
        <v>1.7156304506663309</v>
      </c>
      <c r="AL132" s="56">
        <f>+AJ132/1000*INICIO!$D$50</f>
        <v>34.312609013326615</v>
      </c>
      <c r="AM132" s="57" t="str">
        <f>+INICIO!$C$30</f>
        <v>UVG_B_Kg</v>
      </c>
    </row>
    <row r="133" spans="1:39" ht="15" x14ac:dyDescent="0.25">
      <c r="A133" s="24">
        <v>11</v>
      </c>
      <c r="B133" s="25">
        <f>'1BASE'!A133</f>
        <v>5</v>
      </c>
      <c r="C133" s="24">
        <f>'1BASE'!B133</f>
        <v>0</v>
      </c>
      <c r="D133" s="26">
        <f>'1BASE'!C133</f>
        <v>69</v>
      </c>
      <c r="E133" s="27">
        <f>'1BASE'!D133</f>
        <v>45</v>
      </c>
      <c r="F133" s="27">
        <f>'1BASE'!E133</f>
        <v>120</v>
      </c>
      <c r="G133" s="32">
        <f>(TAN(RADIANS(E133))*20)+(TAN(RADIANS(F133))*20)</f>
        <v>-14.641016151377567</v>
      </c>
      <c r="H133" s="26">
        <f>'1BASE'!F133</f>
        <v>8.5</v>
      </c>
      <c r="I133" s="24">
        <f>'1BASE'!G133</f>
        <v>0</v>
      </c>
      <c r="J133" s="24">
        <f>'1BASE'!H133</f>
        <v>0</v>
      </c>
      <c r="K133" s="24"/>
      <c r="L133" s="24"/>
      <c r="M133" s="24"/>
      <c r="N133" s="24"/>
      <c r="O133" s="24"/>
      <c r="P133" s="24"/>
      <c r="Q133" s="24"/>
      <c r="R133" s="24"/>
      <c r="S133" s="5"/>
      <c r="T133" s="5"/>
      <c r="U133" s="1" t="s">
        <v>96</v>
      </c>
      <c r="V133" s="11">
        <v>0.05</v>
      </c>
      <c r="W133" s="1">
        <f>+INICIO!$C$34</f>
        <v>2014</v>
      </c>
      <c r="X133" s="1" t="str">
        <f>+INICIO!$B$32</f>
        <v>LATIFOLIADO</v>
      </c>
      <c r="Y133" s="50" t="str">
        <f t="shared" si="16"/>
        <v>DEJAR</v>
      </c>
      <c r="Z133" s="50" t="str">
        <f t="shared" si="17"/>
        <v>DEJAR</v>
      </c>
      <c r="AA133" s="50" t="str">
        <f t="shared" si="18"/>
        <v>DEJAR</v>
      </c>
      <c r="AB133" s="50" t="str">
        <f t="shared" si="19"/>
        <v>DEJAR</v>
      </c>
      <c r="AC133" s="52">
        <f t="shared" si="20"/>
        <v>0.37392806559352504</v>
      </c>
      <c r="AD133" s="52">
        <f t="shared" si="21"/>
        <v>7.4785613118705001</v>
      </c>
      <c r="AE133" s="52">
        <f>+IF(X133=INICIO!$B$31,0.15991*D133^2.32764,AND(X133=INICIO!$B$32)*0.13657*D133^2.38351)</f>
        <v>3298.1507760058912</v>
      </c>
      <c r="AF133" s="52">
        <f t="shared" si="22"/>
        <v>65963.015520117813</v>
      </c>
      <c r="AG133" s="52">
        <f>+AE133/1000*INICIO!$D$50</f>
        <v>1.5501308647227687</v>
      </c>
      <c r="AH133" s="52">
        <f>+AF133/1000*INICIO!$D$50</f>
        <v>31.002617294455369</v>
      </c>
      <c r="AI133" s="55">
        <f>+IF(X133=INICIO!$B$31,IF(D133&lt;=82,0.15991*D133^2.32764, 0.15991*82^2.32764),AND(X133=INICIO!$B$32)*IF(D133&lt;=79.9,0.13657*D133^2.38351,0.13657*79.9^2.38351))</f>
        <v>3298.1507760058912</v>
      </c>
      <c r="AJ133" s="56">
        <f t="shared" si="23"/>
        <v>65963.015520117813</v>
      </c>
      <c r="AK133" s="56">
        <f>+AI133/1000*INICIO!$D$50</f>
        <v>1.5501308647227687</v>
      </c>
      <c r="AL133" s="56">
        <f>+AJ133/1000*INICIO!$D$50</f>
        <v>31.002617294455369</v>
      </c>
      <c r="AM133" s="57" t="str">
        <f>+INICIO!$C$30</f>
        <v>UVG_B_Kg</v>
      </c>
    </row>
    <row r="134" spans="1:39" ht="15" x14ac:dyDescent="0.25">
      <c r="A134" s="24">
        <v>11</v>
      </c>
      <c r="B134" s="25">
        <f>'1BASE'!A134</f>
        <v>6</v>
      </c>
      <c r="C134" s="24">
        <f>'1BASE'!B134</f>
        <v>0</v>
      </c>
      <c r="D134" s="26">
        <f>'1BASE'!C134</f>
        <v>56.9</v>
      </c>
      <c r="E134" s="27">
        <f>'1BASE'!D134</f>
        <v>30</v>
      </c>
      <c r="F134" s="27">
        <f>'1BASE'!E134</f>
        <v>110</v>
      </c>
      <c r="G134" s="32">
        <f>(TAN(RADIANS(E134))*20)+(TAN(RADIANS(F134))*20)</f>
        <v>-43.402543005299933</v>
      </c>
      <c r="H134" s="26">
        <f>'1BASE'!F134</f>
        <v>7</v>
      </c>
      <c r="I134" s="24">
        <f>'1BASE'!G134</f>
        <v>0</v>
      </c>
      <c r="J134" s="24">
        <f>'1BASE'!H134</f>
        <v>0</v>
      </c>
      <c r="K134" s="24"/>
      <c r="L134" s="24"/>
      <c r="M134" s="24"/>
      <c r="N134" s="24"/>
      <c r="O134" s="24"/>
      <c r="P134" s="24"/>
      <c r="Q134" s="24"/>
      <c r="R134" s="24"/>
      <c r="S134" s="5"/>
      <c r="T134" s="5"/>
      <c r="U134" s="1" t="s">
        <v>96</v>
      </c>
      <c r="V134" s="11">
        <v>0.05</v>
      </c>
      <c r="W134" s="1">
        <f>+INICIO!$C$34</f>
        <v>2014</v>
      </c>
      <c r="X134" s="1" t="str">
        <f>+INICIO!$B$32</f>
        <v>LATIFOLIADO</v>
      </c>
      <c r="Y134" s="50" t="str">
        <f t="shared" si="16"/>
        <v>DEJAR</v>
      </c>
      <c r="Z134" s="50" t="str">
        <f t="shared" si="17"/>
        <v>DEJAR</v>
      </c>
      <c r="AA134" s="50" t="str">
        <f t="shared" si="18"/>
        <v>DEJAR</v>
      </c>
      <c r="AB134" s="50" t="str">
        <f t="shared" si="19"/>
        <v>DEJAR</v>
      </c>
      <c r="AC134" s="52">
        <f t="shared" si="20"/>
        <v>0.25428129477972122</v>
      </c>
      <c r="AD134" s="52">
        <f t="shared" si="21"/>
        <v>5.0856258955944238</v>
      </c>
      <c r="AE134" s="52">
        <f>+IF(X134=INICIO!$B$31,0.15991*D134^2.32764,AND(X134=INICIO!$B$32)*0.13657*D134^2.38351)</f>
        <v>2082.9696758847244</v>
      </c>
      <c r="AF134" s="52">
        <f t="shared" si="22"/>
        <v>41659.393517694487</v>
      </c>
      <c r="AG134" s="52">
        <f>+AE134/1000*INICIO!$D$50</f>
        <v>0.97899574766582043</v>
      </c>
      <c r="AH134" s="52">
        <f>+AF134/1000*INICIO!$D$50</f>
        <v>19.579914953316408</v>
      </c>
      <c r="AI134" s="55">
        <f>+IF(X134=INICIO!$B$31,IF(D134&lt;=82,0.15991*D134^2.32764, 0.15991*82^2.32764),AND(X134=INICIO!$B$32)*IF(D134&lt;=79.9,0.13657*D134^2.38351,0.13657*79.9^2.38351))</f>
        <v>2082.9696758847244</v>
      </c>
      <c r="AJ134" s="56">
        <f t="shared" si="23"/>
        <v>41659.393517694487</v>
      </c>
      <c r="AK134" s="56">
        <f>+AI134/1000*INICIO!$D$50</f>
        <v>0.97899574766582043</v>
      </c>
      <c r="AL134" s="56">
        <f>+AJ134/1000*INICIO!$D$50</f>
        <v>19.579914953316408</v>
      </c>
      <c r="AM134" s="57" t="str">
        <f>+INICIO!$C$30</f>
        <v>UVG_B_Kg</v>
      </c>
    </row>
    <row r="135" spans="1:39" ht="15" x14ac:dyDescent="0.25">
      <c r="A135" s="24">
        <v>11</v>
      </c>
      <c r="B135" s="25">
        <f>'1BASE'!A135</f>
        <v>7</v>
      </c>
      <c r="C135" s="24">
        <f>'1BASE'!B135</f>
        <v>0</v>
      </c>
      <c r="D135" s="26">
        <f>'1BASE'!C135</f>
        <v>11.9</v>
      </c>
      <c r="E135" s="27">
        <f>'1BASE'!D135</f>
        <v>0</v>
      </c>
      <c r="F135" s="27">
        <f>'1BASE'!E135</f>
        <v>0</v>
      </c>
      <c r="G135" s="27"/>
      <c r="H135" s="26">
        <f>'1BASE'!F135</f>
        <v>5</v>
      </c>
      <c r="I135" s="24">
        <f>'1BASE'!G135</f>
        <v>0</v>
      </c>
      <c r="J135" s="24">
        <f>'1BASE'!H135</f>
        <v>0</v>
      </c>
      <c r="K135" s="24"/>
      <c r="L135" s="24"/>
      <c r="M135" s="24"/>
      <c r="N135" s="24"/>
      <c r="O135" s="24"/>
      <c r="P135" s="24"/>
      <c r="Q135" s="24"/>
      <c r="R135" s="24"/>
      <c r="S135" s="5"/>
      <c r="T135" s="5"/>
      <c r="U135" s="1" t="s">
        <v>96</v>
      </c>
      <c r="V135" s="11">
        <v>0.05</v>
      </c>
      <c r="W135" s="1">
        <f>+INICIO!$C$34</f>
        <v>2014</v>
      </c>
      <c r="X135" s="1" t="str">
        <f>+INICIO!$B$32</f>
        <v>LATIFOLIADO</v>
      </c>
      <c r="Y135" s="50" t="str">
        <f t="shared" si="16"/>
        <v>DEJAR</v>
      </c>
      <c r="Z135" s="50" t="str">
        <f t="shared" si="17"/>
        <v>DEJAR</v>
      </c>
      <c r="AA135" s="50" t="str">
        <f t="shared" si="18"/>
        <v>DEJAR</v>
      </c>
      <c r="AB135" s="50" t="str">
        <f t="shared" si="19"/>
        <v>DEJAR</v>
      </c>
      <c r="AC135" s="52">
        <f t="shared" si="20"/>
        <v>1.1122023391871266E-2</v>
      </c>
      <c r="AD135" s="52">
        <f t="shared" si="21"/>
        <v>0.22244046783742533</v>
      </c>
      <c r="AE135" s="52">
        <f>+IF(X135=INICIO!$B$31,0.15991*D135^2.32764,AND(X135=INICIO!$B$32)*0.13657*D135^2.38351)</f>
        <v>49.995653256156423</v>
      </c>
      <c r="AF135" s="52">
        <f t="shared" si="22"/>
        <v>999.91306512312838</v>
      </c>
      <c r="AG135" s="52">
        <f>+AE135/1000*INICIO!$D$50</f>
        <v>2.3497957030393517E-2</v>
      </c>
      <c r="AH135" s="52">
        <f>+AF135/1000*INICIO!$D$50</f>
        <v>0.46995914060787031</v>
      </c>
      <c r="AI135" s="55">
        <f>+IF(X135=INICIO!$B$31,IF(D135&lt;=82,0.15991*D135^2.32764, 0.15991*82^2.32764),AND(X135=INICIO!$B$32)*IF(D135&lt;=79.9,0.13657*D135^2.38351,0.13657*79.9^2.38351))</f>
        <v>49.995653256156423</v>
      </c>
      <c r="AJ135" s="56">
        <f t="shared" si="23"/>
        <v>999.91306512312838</v>
      </c>
      <c r="AK135" s="56">
        <f>+AI135/1000*INICIO!$D$50</f>
        <v>2.3497957030393517E-2</v>
      </c>
      <c r="AL135" s="56">
        <f>+AJ135/1000*INICIO!$D$50</f>
        <v>0.46995914060787031</v>
      </c>
      <c r="AM135" s="57" t="str">
        <f>+INICIO!$C$30</f>
        <v>UVG_B_Kg</v>
      </c>
    </row>
    <row r="136" spans="1:39" ht="15" x14ac:dyDescent="0.25">
      <c r="A136" s="24">
        <v>11</v>
      </c>
      <c r="B136" s="25">
        <f>'1BASE'!A136</f>
        <v>8</v>
      </c>
      <c r="C136" s="24">
        <f>'1BASE'!B136</f>
        <v>0</v>
      </c>
      <c r="D136" s="26">
        <f>'1BASE'!C136</f>
        <v>29.1</v>
      </c>
      <c r="E136" s="27">
        <f>'1BASE'!D136</f>
        <v>0</v>
      </c>
      <c r="F136" s="27">
        <f>'1BASE'!E136</f>
        <v>0</v>
      </c>
      <c r="G136" s="27"/>
      <c r="H136" s="26">
        <f>'1BASE'!F136</f>
        <v>8.5</v>
      </c>
      <c r="I136" s="24">
        <f>'1BASE'!G136</f>
        <v>0</v>
      </c>
      <c r="J136" s="24">
        <f>'1BASE'!H136</f>
        <v>0</v>
      </c>
      <c r="K136" s="24"/>
      <c r="L136" s="24"/>
      <c r="M136" s="24"/>
      <c r="N136" s="24"/>
      <c r="O136" s="24"/>
      <c r="P136" s="24"/>
      <c r="Q136" s="24"/>
      <c r="R136" s="24"/>
      <c r="S136" s="5"/>
      <c r="T136" s="5"/>
      <c r="U136" s="1" t="s">
        <v>96</v>
      </c>
      <c r="V136" s="11">
        <v>0.05</v>
      </c>
      <c r="W136" s="1">
        <f>+INICIO!$C$34</f>
        <v>2014</v>
      </c>
      <c r="X136" s="1" t="str">
        <f>+INICIO!$B$32</f>
        <v>LATIFOLIADO</v>
      </c>
      <c r="Y136" s="50" t="str">
        <f t="shared" si="16"/>
        <v>DEJAR</v>
      </c>
      <c r="Z136" s="50" t="str">
        <f t="shared" si="17"/>
        <v>DEJAR</v>
      </c>
      <c r="AA136" s="50" t="str">
        <f t="shared" si="18"/>
        <v>DEJAR</v>
      </c>
      <c r="AB136" s="50" t="str">
        <f t="shared" si="19"/>
        <v>DEJAR</v>
      </c>
      <c r="AC136" s="52">
        <f t="shared" si="20"/>
        <v>6.6508301874659337E-2</v>
      </c>
      <c r="AD136" s="52">
        <f t="shared" si="21"/>
        <v>1.3301660374931867</v>
      </c>
      <c r="AE136" s="52">
        <f>+IF(X136=INICIO!$B$31,0.15991*D136^2.32764,AND(X136=INICIO!$B$32)*0.13657*D136^2.38351)</f>
        <v>421.26840421437322</v>
      </c>
      <c r="AF136" s="52">
        <f t="shared" si="22"/>
        <v>8425.3680842874637</v>
      </c>
      <c r="AG136" s="52">
        <f>+AE136/1000*INICIO!$D$50</f>
        <v>0.1979961499807554</v>
      </c>
      <c r="AH136" s="52">
        <f>+AF136/1000*INICIO!$D$50</f>
        <v>3.9599229996151073</v>
      </c>
      <c r="AI136" s="55">
        <f>+IF(X136=INICIO!$B$31,IF(D136&lt;=82,0.15991*D136^2.32764, 0.15991*82^2.32764),AND(X136=INICIO!$B$32)*IF(D136&lt;=79.9,0.13657*D136^2.38351,0.13657*79.9^2.38351))</f>
        <v>421.26840421437322</v>
      </c>
      <c r="AJ136" s="56">
        <f t="shared" si="23"/>
        <v>8425.3680842874637</v>
      </c>
      <c r="AK136" s="56">
        <f>+AI136/1000*INICIO!$D$50</f>
        <v>0.1979961499807554</v>
      </c>
      <c r="AL136" s="56">
        <f>+AJ136/1000*INICIO!$D$50</f>
        <v>3.9599229996151073</v>
      </c>
      <c r="AM136" s="57" t="str">
        <f>+INICIO!$C$30</f>
        <v>UVG_B_Kg</v>
      </c>
    </row>
    <row r="137" spans="1:39" ht="15" x14ac:dyDescent="0.25">
      <c r="A137" s="24">
        <v>11</v>
      </c>
      <c r="B137" s="25">
        <f>'1BASE'!A137</f>
        <v>9</v>
      </c>
      <c r="C137" s="24">
        <f>'1BASE'!B137</f>
        <v>0</v>
      </c>
      <c r="D137" s="26">
        <f>'1BASE'!C137</f>
        <v>18.899999999999999</v>
      </c>
      <c r="E137" s="27">
        <f>'1BASE'!D137</f>
        <v>0</v>
      </c>
      <c r="F137" s="27">
        <f>'1BASE'!E137</f>
        <v>0</v>
      </c>
      <c r="G137" s="27"/>
      <c r="H137" s="26">
        <f>'1BASE'!F137</f>
        <v>5.5</v>
      </c>
      <c r="I137" s="24">
        <f>'1BASE'!G137</f>
        <v>0</v>
      </c>
      <c r="J137" s="24">
        <f>'1BASE'!H137</f>
        <v>0</v>
      </c>
      <c r="K137" s="24"/>
      <c r="L137" s="24"/>
      <c r="M137" s="24"/>
      <c r="N137" s="24"/>
      <c r="O137" s="24"/>
      <c r="P137" s="24"/>
      <c r="Q137" s="24"/>
      <c r="R137" s="24"/>
      <c r="S137" s="5"/>
      <c r="T137" s="5"/>
      <c r="U137" s="1" t="s">
        <v>96</v>
      </c>
      <c r="V137" s="11">
        <v>0.05</v>
      </c>
      <c r="W137" s="1">
        <f>+INICIO!$C$34</f>
        <v>2014</v>
      </c>
      <c r="X137" s="1" t="str">
        <f>+INICIO!$B$32</f>
        <v>LATIFOLIADO</v>
      </c>
      <c r="Y137" s="50" t="str">
        <f t="shared" si="16"/>
        <v>DEJAR</v>
      </c>
      <c r="Z137" s="50" t="str">
        <f t="shared" si="17"/>
        <v>DEJAR</v>
      </c>
      <c r="AA137" s="50" t="str">
        <f t="shared" si="18"/>
        <v>DEJAR</v>
      </c>
      <c r="AB137" s="50" t="str">
        <f t="shared" si="19"/>
        <v>DEJAR</v>
      </c>
      <c r="AC137" s="52">
        <f t="shared" si="20"/>
        <v>2.805520779472024E-2</v>
      </c>
      <c r="AD137" s="52">
        <f t="shared" si="21"/>
        <v>0.56110415589440477</v>
      </c>
      <c r="AE137" s="52">
        <f>+IF(X137=INICIO!$B$31,0.15991*D137^2.32764,AND(X137=INICIO!$B$32)*0.13657*D137^2.38351)</f>
        <v>150.59646729750378</v>
      </c>
      <c r="AF137" s="52">
        <f t="shared" si="22"/>
        <v>3011.9293459500755</v>
      </c>
      <c r="AG137" s="52">
        <f>+AE137/1000*INICIO!$D$50</f>
        <v>7.0780339629826772E-2</v>
      </c>
      <c r="AH137" s="52">
        <f>+AF137/1000*INICIO!$D$50</f>
        <v>1.4156067925965354</v>
      </c>
      <c r="AI137" s="55">
        <f>+IF(X137=INICIO!$B$31,IF(D137&lt;=82,0.15991*D137^2.32764, 0.15991*82^2.32764),AND(X137=INICIO!$B$32)*IF(D137&lt;=79.9,0.13657*D137^2.38351,0.13657*79.9^2.38351))</f>
        <v>150.59646729750378</v>
      </c>
      <c r="AJ137" s="56">
        <f t="shared" si="23"/>
        <v>3011.9293459500755</v>
      </c>
      <c r="AK137" s="56">
        <f>+AI137/1000*INICIO!$D$50</f>
        <v>7.0780339629826772E-2</v>
      </c>
      <c r="AL137" s="56">
        <f>+AJ137/1000*INICIO!$D$50</f>
        <v>1.4156067925965354</v>
      </c>
      <c r="AM137" s="57" t="str">
        <f>+INICIO!$C$30</f>
        <v>UVG_B_Kg</v>
      </c>
    </row>
    <row r="138" spans="1:39" ht="15" x14ac:dyDescent="0.25">
      <c r="A138" s="24">
        <v>11</v>
      </c>
      <c r="B138" s="25">
        <f>'1BASE'!A138</f>
        <v>10</v>
      </c>
      <c r="C138" s="24">
        <f>'1BASE'!B138</f>
        <v>0</v>
      </c>
      <c r="D138" s="26">
        <f>'1BASE'!C138</f>
        <v>13.8</v>
      </c>
      <c r="E138" s="27">
        <f>'1BASE'!D138</f>
        <v>0</v>
      </c>
      <c r="F138" s="27">
        <f>'1BASE'!E138</f>
        <v>0</v>
      </c>
      <c r="G138" s="27"/>
      <c r="H138" s="26">
        <f>'1BASE'!F138</f>
        <v>4.5</v>
      </c>
      <c r="I138" s="24">
        <f>'1BASE'!G138</f>
        <v>0</v>
      </c>
      <c r="J138" s="24">
        <f>'1BASE'!H138</f>
        <v>0</v>
      </c>
      <c r="K138" s="24"/>
      <c r="L138" s="24"/>
      <c r="M138" s="24"/>
      <c r="N138" s="24"/>
      <c r="O138" s="24"/>
      <c r="P138" s="24"/>
      <c r="Q138" s="24"/>
      <c r="R138" s="24"/>
      <c r="S138" s="5"/>
      <c r="T138" s="5"/>
      <c r="U138" s="1" t="s">
        <v>96</v>
      </c>
      <c r="V138" s="11">
        <v>0.05</v>
      </c>
      <c r="W138" s="1">
        <f>+INICIO!$C$34</f>
        <v>2014</v>
      </c>
      <c r="X138" s="1" t="str">
        <f>+INICIO!$B$32</f>
        <v>LATIFOLIADO</v>
      </c>
      <c r="Y138" s="50" t="str">
        <f t="shared" si="16"/>
        <v>DEJAR</v>
      </c>
      <c r="Z138" s="50" t="str">
        <f t="shared" si="17"/>
        <v>DEJAR</v>
      </c>
      <c r="AA138" s="50" t="str">
        <f t="shared" si="18"/>
        <v>DEJAR</v>
      </c>
      <c r="AB138" s="50" t="str">
        <f t="shared" si="19"/>
        <v>DEJAR</v>
      </c>
      <c r="AC138" s="52">
        <f t="shared" si="20"/>
        <v>1.4957122623741007E-2</v>
      </c>
      <c r="AD138" s="52">
        <f t="shared" si="21"/>
        <v>0.29914245247482013</v>
      </c>
      <c r="AE138" s="52">
        <f>+IF(X138=INICIO!$B$31,0.15991*D138^2.32764,AND(X138=INICIO!$B$32)*0.13657*D138^2.38351)</f>
        <v>71.165337059048142</v>
      </c>
      <c r="AF138" s="52">
        <f t="shared" si="22"/>
        <v>1423.3067411809627</v>
      </c>
      <c r="AG138" s="52">
        <f>+AE138/1000*INICIO!$D$50</f>
        <v>3.3447708417752624E-2</v>
      </c>
      <c r="AH138" s="52">
        <f>+AF138/1000*INICIO!$D$50</f>
        <v>0.6689541683550525</v>
      </c>
      <c r="AI138" s="55">
        <f>+IF(X138=INICIO!$B$31,IF(D138&lt;=82,0.15991*D138^2.32764, 0.15991*82^2.32764),AND(X138=INICIO!$B$32)*IF(D138&lt;=79.9,0.13657*D138^2.38351,0.13657*79.9^2.38351))</f>
        <v>71.165337059048142</v>
      </c>
      <c r="AJ138" s="56">
        <f t="shared" si="23"/>
        <v>1423.3067411809627</v>
      </c>
      <c r="AK138" s="56">
        <f>+AI138/1000*INICIO!$D$50</f>
        <v>3.3447708417752624E-2</v>
      </c>
      <c r="AL138" s="56">
        <f>+AJ138/1000*INICIO!$D$50</f>
        <v>0.6689541683550525</v>
      </c>
      <c r="AM138" s="57" t="str">
        <f>+INICIO!$C$30</f>
        <v>UVG_B_Kg</v>
      </c>
    </row>
    <row r="139" spans="1:39" ht="15" x14ac:dyDescent="0.25">
      <c r="A139" s="24">
        <v>11</v>
      </c>
      <c r="B139" s="25">
        <f>'1BASE'!A139</f>
        <v>11</v>
      </c>
      <c r="C139" s="24">
        <f>'1BASE'!B139</f>
        <v>0</v>
      </c>
      <c r="D139" s="26">
        <f>'1BASE'!C139</f>
        <v>10.6</v>
      </c>
      <c r="E139" s="27">
        <f>'1BASE'!D139</f>
        <v>0</v>
      </c>
      <c r="F139" s="27">
        <f>'1BASE'!E139</f>
        <v>0</v>
      </c>
      <c r="G139" s="27"/>
      <c r="H139" s="26">
        <f>'1BASE'!F139</f>
        <v>2</v>
      </c>
      <c r="I139" s="24">
        <f>'1BASE'!G139</f>
        <v>0</v>
      </c>
      <c r="J139" s="24">
        <f>'1BASE'!H139</f>
        <v>0</v>
      </c>
      <c r="K139" s="24"/>
      <c r="L139" s="24"/>
      <c r="M139" s="24"/>
      <c r="N139" s="24"/>
      <c r="O139" s="24"/>
      <c r="P139" s="24"/>
      <c r="Q139" s="24"/>
      <c r="R139" s="24"/>
      <c r="S139" s="5"/>
      <c r="T139" s="5"/>
      <c r="U139" s="1" t="s">
        <v>96</v>
      </c>
      <c r="V139" s="11">
        <v>0.05</v>
      </c>
      <c r="W139" s="1">
        <f>+INICIO!$C$34</f>
        <v>2014</v>
      </c>
      <c r="X139" s="1" t="str">
        <f>+INICIO!$B$32</f>
        <v>LATIFOLIADO</v>
      </c>
      <c r="Y139" s="50" t="str">
        <f t="shared" si="16"/>
        <v>DEJAR</v>
      </c>
      <c r="Z139" s="50" t="str">
        <f t="shared" si="17"/>
        <v>DEJAR</v>
      </c>
      <c r="AA139" s="50" t="str">
        <f t="shared" si="18"/>
        <v>DEJAR</v>
      </c>
      <c r="AB139" s="50" t="str">
        <f t="shared" si="19"/>
        <v>DEJAR</v>
      </c>
      <c r="AC139" s="52">
        <f t="shared" si="20"/>
        <v>8.8247337639337283E-3</v>
      </c>
      <c r="AD139" s="52">
        <f t="shared" si="21"/>
        <v>0.17649467527867455</v>
      </c>
      <c r="AE139" s="52">
        <f>+IF(X139=INICIO!$B$31,0.15991*D139^2.32764,AND(X139=INICIO!$B$32)*0.13657*D139^2.38351)</f>
        <v>37.947405867325628</v>
      </c>
      <c r="AF139" s="52">
        <f t="shared" si="22"/>
        <v>758.9481173465125</v>
      </c>
      <c r="AG139" s="52">
        <f>+AE139/1000*INICIO!$D$50</f>
        <v>1.7835280757643047E-2</v>
      </c>
      <c r="AH139" s="52">
        <f>+AF139/1000*INICIO!$D$50</f>
        <v>0.35670561515286081</v>
      </c>
      <c r="AI139" s="55">
        <f>+IF(X139=INICIO!$B$31,IF(D139&lt;=82,0.15991*D139^2.32764, 0.15991*82^2.32764),AND(X139=INICIO!$B$32)*IF(D139&lt;=79.9,0.13657*D139^2.38351,0.13657*79.9^2.38351))</f>
        <v>37.947405867325628</v>
      </c>
      <c r="AJ139" s="56">
        <f t="shared" si="23"/>
        <v>758.9481173465125</v>
      </c>
      <c r="AK139" s="56">
        <f>+AI139/1000*INICIO!$D$50</f>
        <v>1.7835280757643047E-2</v>
      </c>
      <c r="AL139" s="56">
        <f>+AJ139/1000*INICIO!$D$50</f>
        <v>0.35670561515286081</v>
      </c>
      <c r="AM139" s="57" t="str">
        <f>+INICIO!$C$30</f>
        <v>UVG_B_Kg</v>
      </c>
    </row>
    <row r="140" spans="1:39" ht="15" x14ac:dyDescent="0.25">
      <c r="A140" s="24">
        <v>11</v>
      </c>
      <c r="B140" s="25">
        <f>'1BASE'!A140</f>
        <v>12</v>
      </c>
      <c r="C140" s="24">
        <f>'1BASE'!B140</f>
        <v>0</v>
      </c>
      <c r="D140" s="26">
        <f>'1BASE'!C140</f>
        <v>30.5</v>
      </c>
      <c r="E140" s="27">
        <f>'1BASE'!D140</f>
        <v>0</v>
      </c>
      <c r="F140" s="27">
        <f>'1BASE'!E140</f>
        <v>0</v>
      </c>
      <c r="G140" s="27"/>
      <c r="H140" s="26">
        <f>'1BASE'!F140</f>
        <v>4.5999999999999996</v>
      </c>
      <c r="I140" s="24">
        <f>'1BASE'!G140</f>
        <v>0</v>
      </c>
      <c r="J140" s="24">
        <f>'1BASE'!H140</f>
        <v>0</v>
      </c>
      <c r="K140" s="24"/>
      <c r="L140" s="24"/>
      <c r="M140" s="24"/>
      <c r="N140" s="24"/>
      <c r="O140" s="24"/>
      <c r="P140" s="24"/>
      <c r="Q140" s="24"/>
      <c r="R140" s="24"/>
      <c r="S140" s="5"/>
      <c r="T140" s="5"/>
      <c r="U140" s="1" t="s">
        <v>96</v>
      </c>
      <c r="V140" s="11">
        <v>0.05</v>
      </c>
      <c r="W140" s="1">
        <f>+INICIO!$C$34</f>
        <v>2014</v>
      </c>
      <c r="X140" s="1" t="str">
        <f>+INICIO!$B$32</f>
        <v>LATIFOLIADO</v>
      </c>
      <c r="Y140" s="50" t="str">
        <f t="shared" si="16"/>
        <v>DEJAR</v>
      </c>
      <c r="Z140" s="50" t="str">
        <f t="shared" si="17"/>
        <v>DEJAR</v>
      </c>
      <c r="AA140" s="50" t="str">
        <f t="shared" si="18"/>
        <v>DEJAR</v>
      </c>
      <c r="AB140" s="50" t="str">
        <f t="shared" si="19"/>
        <v>DEJAR</v>
      </c>
      <c r="AC140" s="52">
        <f t="shared" si="20"/>
        <v>7.3061664150047625E-2</v>
      </c>
      <c r="AD140" s="52">
        <f t="shared" si="21"/>
        <v>1.4612332830009525</v>
      </c>
      <c r="AE140" s="52">
        <f>+IF(X140=INICIO!$B$31,0.15991*D140^2.32764,AND(X140=INICIO!$B$32)*0.13657*D140^2.38351)</f>
        <v>471.19298861035389</v>
      </c>
      <c r="AF140" s="52">
        <f t="shared" si="22"/>
        <v>9423.8597722070772</v>
      </c>
      <c r="AG140" s="52">
        <f>+AE140/1000*INICIO!$D$50</f>
        <v>0.22146070464686632</v>
      </c>
      <c r="AH140" s="52">
        <f>+AF140/1000*INICIO!$D$50</f>
        <v>4.4292140929373263</v>
      </c>
      <c r="AI140" s="55">
        <f>+IF(X140=INICIO!$B$31,IF(D140&lt;=82,0.15991*D140^2.32764, 0.15991*82^2.32764),AND(X140=INICIO!$B$32)*IF(D140&lt;=79.9,0.13657*D140^2.38351,0.13657*79.9^2.38351))</f>
        <v>471.19298861035389</v>
      </c>
      <c r="AJ140" s="56">
        <f t="shared" si="23"/>
        <v>9423.8597722070772</v>
      </c>
      <c r="AK140" s="56">
        <f>+AI140/1000*INICIO!$D$50</f>
        <v>0.22146070464686632</v>
      </c>
      <c r="AL140" s="56">
        <f>+AJ140/1000*INICIO!$D$50</f>
        <v>4.4292140929373263</v>
      </c>
      <c r="AM140" s="57" t="str">
        <f>+INICIO!$C$30</f>
        <v>UVG_B_Kg</v>
      </c>
    </row>
    <row r="141" spans="1:39" ht="15" x14ac:dyDescent="0.25">
      <c r="A141" s="24">
        <v>11</v>
      </c>
      <c r="B141" s="25">
        <f>'1BASE'!A141</f>
        <v>13</v>
      </c>
      <c r="C141" s="24" t="str">
        <f>'1BASE'!B141</f>
        <v>Tamarindo</v>
      </c>
      <c r="D141" s="26">
        <f>'1BASE'!C141</f>
        <v>45.2</v>
      </c>
      <c r="E141" s="27">
        <f>'1BASE'!D141</f>
        <v>0</v>
      </c>
      <c r="F141" s="27">
        <f>'1BASE'!E141</f>
        <v>0</v>
      </c>
      <c r="G141" s="27"/>
      <c r="H141" s="26">
        <f>'1BASE'!F141</f>
        <v>10</v>
      </c>
      <c r="I141" s="24">
        <f>'1BASE'!G141</f>
        <v>0</v>
      </c>
      <c r="J141" s="24">
        <f>'1BASE'!H141</f>
        <v>0</v>
      </c>
      <c r="K141" s="24"/>
      <c r="L141" s="24"/>
      <c r="M141" s="24"/>
      <c r="N141" s="24"/>
      <c r="O141" s="24"/>
      <c r="P141" s="24"/>
      <c r="Q141" s="24"/>
      <c r="R141" s="24"/>
      <c r="S141" s="5"/>
      <c r="T141" s="5"/>
      <c r="U141" s="1" t="s">
        <v>96</v>
      </c>
      <c r="V141" s="11">
        <v>0.05</v>
      </c>
      <c r="W141" s="1">
        <f>+INICIO!$C$34</f>
        <v>2014</v>
      </c>
      <c r="X141" s="1" t="str">
        <f>+INICIO!$B$32</f>
        <v>LATIFOLIADO</v>
      </c>
      <c r="Y141" s="50" t="str">
        <f t="shared" si="16"/>
        <v>DEJAR</v>
      </c>
      <c r="Z141" s="50" t="str">
        <f t="shared" si="17"/>
        <v>DEJAR</v>
      </c>
      <c r="AA141" s="50" t="str">
        <f t="shared" si="18"/>
        <v>DEJAR</v>
      </c>
      <c r="AB141" s="50" t="str">
        <f t="shared" si="19"/>
        <v>DEJAR</v>
      </c>
      <c r="AC141" s="52">
        <f t="shared" si="20"/>
        <v>0.16045998637475228</v>
      </c>
      <c r="AD141" s="52">
        <f t="shared" si="21"/>
        <v>3.2091997274950455</v>
      </c>
      <c r="AE141" s="52">
        <f>+IF(X141=INICIO!$B$31,0.15991*D141^2.32764,AND(X141=INICIO!$B$32)*0.13657*D141^2.38351)</f>
        <v>1203.356533220845</v>
      </c>
      <c r="AF141" s="52">
        <f t="shared" si="22"/>
        <v>24067.130664416898</v>
      </c>
      <c r="AG141" s="52">
        <f>+AE141/1000*INICIO!$D$50</f>
        <v>0.5655775706137971</v>
      </c>
      <c r="AH141" s="52">
        <f>+AF141/1000*INICIO!$D$50</f>
        <v>11.311551412275941</v>
      </c>
      <c r="AI141" s="55">
        <f>+IF(X141=INICIO!$B$31,IF(D141&lt;=82,0.15991*D141^2.32764, 0.15991*82^2.32764),AND(X141=INICIO!$B$32)*IF(D141&lt;=79.9,0.13657*D141^2.38351,0.13657*79.9^2.38351))</f>
        <v>1203.356533220845</v>
      </c>
      <c r="AJ141" s="56">
        <f t="shared" si="23"/>
        <v>24067.130664416898</v>
      </c>
      <c r="AK141" s="56">
        <f>+AI141/1000*INICIO!$D$50</f>
        <v>0.5655775706137971</v>
      </c>
      <c r="AL141" s="56">
        <f>+AJ141/1000*INICIO!$D$50</f>
        <v>11.311551412275941</v>
      </c>
      <c r="AM141" s="57" t="str">
        <f>+INICIO!$C$30</f>
        <v>UVG_B_Kg</v>
      </c>
    </row>
    <row r="142" spans="1:39" ht="15" x14ac:dyDescent="0.25">
      <c r="A142" s="24">
        <v>11</v>
      </c>
      <c r="B142" s="25">
        <f>'1BASE'!A142</f>
        <v>14</v>
      </c>
      <c r="C142" s="24">
        <f>'1BASE'!B142</f>
        <v>0</v>
      </c>
      <c r="D142" s="26">
        <f>'1BASE'!C142</f>
        <v>63.8</v>
      </c>
      <c r="E142" s="27">
        <f>'1BASE'!D142</f>
        <v>0</v>
      </c>
      <c r="F142" s="27">
        <f>'1BASE'!E142</f>
        <v>0</v>
      </c>
      <c r="G142" s="24"/>
      <c r="H142" s="26">
        <f>'1BASE'!F142</f>
        <v>8.5</v>
      </c>
      <c r="I142" s="24">
        <f>'1BASE'!G142</f>
        <v>0</v>
      </c>
      <c r="J142" s="24">
        <f>'1BASE'!H142</f>
        <v>0</v>
      </c>
      <c r="K142" s="24"/>
      <c r="L142" s="24"/>
      <c r="M142" s="24"/>
      <c r="N142" s="24"/>
      <c r="O142" s="24"/>
      <c r="P142" s="24"/>
      <c r="Q142" s="24"/>
      <c r="R142" s="24"/>
      <c r="S142" s="5"/>
      <c r="T142" s="5"/>
      <c r="U142" s="1" t="s">
        <v>96</v>
      </c>
      <c r="V142" s="11">
        <v>0.05</v>
      </c>
      <c r="W142" s="1">
        <f>+INICIO!$C$34</f>
        <v>2014</v>
      </c>
      <c r="X142" s="1" t="str">
        <f>+INICIO!$B$32</f>
        <v>LATIFOLIADO</v>
      </c>
      <c r="Y142" s="50" t="str">
        <f t="shared" si="16"/>
        <v>DEJAR</v>
      </c>
      <c r="Z142" s="50" t="str">
        <f t="shared" si="17"/>
        <v>DEJAR</v>
      </c>
      <c r="AA142" s="50" t="str">
        <f t="shared" si="18"/>
        <v>DEJAR</v>
      </c>
      <c r="AB142" s="50" t="str">
        <f t="shared" si="19"/>
        <v>DEJAR</v>
      </c>
      <c r="AC142" s="52">
        <f t="shared" si="20"/>
        <v>0.31969161002195096</v>
      </c>
      <c r="AD142" s="52">
        <f t="shared" si="21"/>
        <v>6.3938322004390189</v>
      </c>
      <c r="AE142" s="52">
        <f>+IF(X142=INICIO!$B$31,0.15991*D142^2.32764,AND(X142=INICIO!$B$32)*0.13657*D142^2.38351)</f>
        <v>2736.2983297270744</v>
      </c>
      <c r="AF142" s="52">
        <f t="shared" si="22"/>
        <v>54725.966594541482</v>
      </c>
      <c r="AG142" s="52">
        <f>+AE142/1000*INICIO!$D$50</f>
        <v>1.2860602149717248</v>
      </c>
      <c r="AH142" s="52">
        <f>+AF142/1000*INICIO!$D$50</f>
        <v>25.721204299434497</v>
      </c>
      <c r="AI142" s="55">
        <f>+IF(X142=INICIO!$B$31,IF(D142&lt;=82,0.15991*D142^2.32764, 0.15991*82^2.32764),AND(X142=INICIO!$B$32)*IF(D142&lt;=79.9,0.13657*D142^2.38351,0.13657*79.9^2.38351))</f>
        <v>2736.2983297270744</v>
      </c>
      <c r="AJ142" s="56">
        <f t="shared" si="23"/>
        <v>54725.966594541482</v>
      </c>
      <c r="AK142" s="56">
        <f>+AI142/1000*INICIO!$D$50</f>
        <v>1.2860602149717248</v>
      </c>
      <c r="AL142" s="56">
        <f>+AJ142/1000*INICIO!$D$50</f>
        <v>25.721204299434497</v>
      </c>
      <c r="AM142" s="57" t="str">
        <f>+INICIO!$C$30</f>
        <v>UVG_B_Kg</v>
      </c>
    </row>
    <row r="143" spans="1:39" ht="15" x14ac:dyDescent="0.25">
      <c r="A143" s="24">
        <v>11</v>
      </c>
      <c r="B143" s="25">
        <f>'1BASE'!A143</f>
        <v>15</v>
      </c>
      <c r="C143" s="24">
        <f>'1BASE'!B143</f>
        <v>0</v>
      </c>
      <c r="D143" s="26">
        <f>'1BASE'!C143</f>
        <v>10.5</v>
      </c>
      <c r="E143" s="27">
        <f>'1BASE'!D143</f>
        <v>0</v>
      </c>
      <c r="F143" s="27">
        <f>'1BASE'!E143</f>
        <v>0</v>
      </c>
      <c r="G143" s="24"/>
      <c r="H143" s="26">
        <f>'1BASE'!F143</f>
        <v>2</v>
      </c>
      <c r="I143" s="24">
        <f>'1BASE'!G143</f>
        <v>0</v>
      </c>
      <c r="J143" s="24">
        <f>'1BASE'!H143</f>
        <v>0</v>
      </c>
      <c r="K143" s="24"/>
      <c r="L143" s="24"/>
      <c r="M143" s="24"/>
      <c r="N143" s="24"/>
      <c r="O143" s="24"/>
      <c r="P143" s="24"/>
      <c r="Q143" s="24"/>
      <c r="R143" s="24"/>
      <c r="S143" s="5"/>
      <c r="T143" s="5"/>
      <c r="U143" s="1" t="s">
        <v>96</v>
      </c>
      <c r="V143" s="11">
        <v>0.05</v>
      </c>
      <c r="W143" s="1">
        <f>+INICIO!$C$34</f>
        <v>2014</v>
      </c>
      <c r="X143" s="1" t="str">
        <f>+INICIO!$B$32</f>
        <v>LATIFOLIADO</v>
      </c>
      <c r="Y143" s="50" t="str">
        <f t="shared" si="16"/>
        <v>DEJAR</v>
      </c>
      <c r="Z143" s="50" t="str">
        <f t="shared" si="17"/>
        <v>DEJAR</v>
      </c>
      <c r="AA143" s="50" t="str">
        <f t="shared" si="18"/>
        <v>DEJAR</v>
      </c>
      <c r="AB143" s="50" t="str">
        <f t="shared" si="19"/>
        <v>DEJAR</v>
      </c>
      <c r="AC143" s="52">
        <f t="shared" si="20"/>
        <v>8.6590147514568668E-3</v>
      </c>
      <c r="AD143" s="52">
        <f t="shared" si="21"/>
        <v>0.17318029502913732</v>
      </c>
      <c r="AE143" s="52">
        <f>+IF(X143=INICIO!$B$31,0.15991*D143^2.32764,AND(X143=INICIO!$B$32)*0.13657*D143^2.38351)</f>
        <v>37.099684439743179</v>
      </c>
      <c r="AF143" s="52">
        <f t="shared" si="22"/>
        <v>741.99368879486349</v>
      </c>
      <c r="AG143" s="52">
        <f>+AE143/1000*INICIO!$D$50</f>
        <v>1.7436851686679293E-2</v>
      </c>
      <c r="AH143" s="52">
        <f>+AF143/1000*INICIO!$D$50</f>
        <v>0.34873703373358583</v>
      </c>
      <c r="AI143" s="55">
        <f>+IF(X143=INICIO!$B$31,IF(D143&lt;=82,0.15991*D143^2.32764, 0.15991*82^2.32764),AND(X143=INICIO!$B$32)*IF(D143&lt;=79.9,0.13657*D143^2.38351,0.13657*79.9^2.38351))</f>
        <v>37.099684439743179</v>
      </c>
      <c r="AJ143" s="56">
        <f t="shared" si="23"/>
        <v>741.99368879486349</v>
      </c>
      <c r="AK143" s="56">
        <f>+AI143/1000*INICIO!$D$50</f>
        <v>1.7436851686679293E-2</v>
      </c>
      <c r="AL143" s="56">
        <f>+AJ143/1000*INICIO!$D$50</f>
        <v>0.34873703373358583</v>
      </c>
      <c r="AM143" s="57" t="str">
        <f>+INICIO!$C$30</f>
        <v>UVG_B_Kg</v>
      </c>
    </row>
    <row r="144" spans="1:39" ht="15" x14ac:dyDescent="0.25">
      <c r="A144" s="24">
        <v>11</v>
      </c>
      <c r="B144" s="29">
        <f>'1BASE'!A144</f>
        <v>16</v>
      </c>
      <c r="C144" s="30">
        <f>'1BASE'!B144</f>
        <v>0</v>
      </c>
      <c r="D144" s="26">
        <f>'1BASE'!C144</f>
        <v>68.400000000000006</v>
      </c>
      <c r="E144" s="27">
        <f>'1BASE'!D144</f>
        <v>0</v>
      </c>
      <c r="F144" s="27">
        <f>'1BASE'!E144</f>
        <v>0</v>
      </c>
      <c r="G144" s="30"/>
      <c r="H144" s="26">
        <f>'1BASE'!F144</f>
        <v>6.5</v>
      </c>
      <c r="I144" s="24">
        <f>'1BASE'!G144</f>
        <v>0</v>
      </c>
      <c r="J144" s="24">
        <f>'1BASE'!H144</f>
        <v>0</v>
      </c>
      <c r="K144" s="24"/>
      <c r="L144" s="24"/>
      <c r="M144" s="24"/>
      <c r="N144" s="24"/>
      <c r="O144" s="24"/>
      <c r="P144" s="24"/>
      <c r="Q144" s="24"/>
      <c r="R144" s="24"/>
      <c r="S144" s="5"/>
      <c r="T144" s="5"/>
      <c r="U144" s="1" t="s">
        <v>96</v>
      </c>
      <c r="V144" s="11">
        <v>0.05</v>
      </c>
      <c r="W144" s="1">
        <f>+INICIO!$C$34</f>
        <v>2014</v>
      </c>
      <c r="X144" s="1" t="str">
        <f>+INICIO!$B$32</f>
        <v>LATIFOLIADO</v>
      </c>
      <c r="Y144" s="50" t="str">
        <f t="shared" si="16"/>
        <v>DEJAR</v>
      </c>
      <c r="Z144" s="50" t="str">
        <f t="shared" si="17"/>
        <v>DEJAR</v>
      </c>
      <c r="AA144" s="50" t="str">
        <f t="shared" si="18"/>
        <v>DEJAR</v>
      </c>
      <c r="AB144" s="50" t="str">
        <f t="shared" si="19"/>
        <v>DEJAR</v>
      </c>
      <c r="AC144" s="52">
        <f t="shared" si="20"/>
        <v>0.36745324313447658</v>
      </c>
      <c r="AD144" s="52">
        <f t="shared" si="21"/>
        <v>7.3490648626895316</v>
      </c>
      <c r="AE144" s="52">
        <f>+IF(X144=INICIO!$B$31,0.15991*D144^2.32764,AND(X144=INICIO!$B$32)*0.13657*D144^2.38351)</f>
        <v>3230.2034632093341</v>
      </c>
      <c r="AF144" s="52">
        <f t="shared" si="22"/>
        <v>64604.069264186677</v>
      </c>
      <c r="AG144" s="52">
        <f>+AE144/1000*INICIO!$D$50</f>
        <v>1.5181956277083868</v>
      </c>
      <c r="AH144" s="52">
        <f>+AF144/1000*INICIO!$D$50</f>
        <v>30.363912554167737</v>
      </c>
      <c r="AI144" s="55">
        <f>+IF(X144=INICIO!$B$31,IF(D144&lt;=82,0.15991*D144^2.32764, 0.15991*82^2.32764),AND(X144=INICIO!$B$32)*IF(D144&lt;=79.9,0.13657*D144^2.38351,0.13657*79.9^2.38351))</f>
        <v>3230.2034632093341</v>
      </c>
      <c r="AJ144" s="56">
        <f t="shared" si="23"/>
        <v>64604.069264186677</v>
      </c>
      <c r="AK144" s="56">
        <f>+AI144/1000*INICIO!$D$50</f>
        <v>1.5181956277083868</v>
      </c>
      <c r="AL144" s="56">
        <f>+AJ144/1000*INICIO!$D$50</f>
        <v>30.363912554167737</v>
      </c>
      <c r="AM144" s="57" t="str">
        <f>+INICIO!$C$30</f>
        <v>UVG_B_Kg</v>
      </c>
    </row>
    <row r="145" spans="1:39" ht="15" x14ac:dyDescent="0.25">
      <c r="A145" s="24">
        <v>11</v>
      </c>
      <c r="B145" s="29">
        <f>'1BASE'!A145</f>
        <v>17</v>
      </c>
      <c r="C145" s="24">
        <f>'1BASE'!B145</f>
        <v>0</v>
      </c>
      <c r="D145" s="26">
        <f>'1BASE'!C145</f>
        <v>27.9</v>
      </c>
      <c r="E145" s="27">
        <f>'1BASE'!D145</f>
        <v>0</v>
      </c>
      <c r="F145" s="27">
        <f>'1BASE'!E145</f>
        <v>0</v>
      </c>
      <c r="G145" s="24"/>
      <c r="H145" s="26">
        <f>'1BASE'!F145</f>
        <v>6</v>
      </c>
      <c r="I145" s="24">
        <f>'1BASE'!G145</f>
        <v>0</v>
      </c>
      <c r="J145" s="24">
        <f>'1BASE'!H145</f>
        <v>0</v>
      </c>
      <c r="K145" s="24"/>
      <c r="L145" s="24"/>
      <c r="M145" s="24"/>
      <c r="N145" s="24"/>
      <c r="O145" s="24"/>
      <c r="P145" s="24"/>
      <c r="Q145" s="24"/>
      <c r="R145" s="24"/>
      <c r="S145" s="5"/>
      <c r="T145" s="5"/>
      <c r="U145" s="1" t="s">
        <v>96</v>
      </c>
      <c r="V145" s="11">
        <v>0.05</v>
      </c>
      <c r="W145" s="1">
        <f>+INICIO!$C$34</f>
        <v>2014</v>
      </c>
      <c r="X145" s="1" t="str">
        <f>+INICIO!$B$32</f>
        <v>LATIFOLIADO</v>
      </c>
      <c r="Y145" s="50" t="str">
        <f t="shared" si="16"/>
        <v>DEJAR</v>
      </c>
      <c r="Z145" s="50" t="str">
        <f t="shared" si="17"/>
        <v>DEJAR</v>
      </c>
      <c r="AA145" s="50" t="str">
        <f t="shared" si="18"/>
        <v>DEJAR</v>
      </c>
      <c r="AB145" s="50" t="str">
        <f t="shared" si="19"/>
        <v>DEJAR</v>
      </c>
      <c r="AC145" s="52">
        <f t="shared" si="20"/>
        <v>6.1136178437020752E-2</v>
      </c>
      <c r="AD145" s="52">
        <f t="shared" si="21"/>
        <v>1.222723568740415</v>
      </c>
      <c r="AE145" s="52">
        <f>+IF(X145=INICIO!$B$31,0.15991*D145^2.32764,AND(X145=INICIO!$B$32)*0.13657*D145^2.38351)</f>
        <v>381.03720595914871</v>
      </c>
      <c r="AF145" s="52">
        <f t="shared" si="22"/>
        <v>7620.7441191829739</v>
      </c>
      <c r="AG145" s="52">
        <f>+AE145/1000*INICIO!$D$50</f>
        <v>0.17908748680079989</v>
      </c>
      <c r="AH145" s="52">
        <f>+AF145/1000*INICIO!$D$50</f>
        <v>3.5817497360159973</v>
      </c>
      <c r="AI145" s="55">
        <f>+IF(X145=INICIO!$B$31,IF(D145&lt;=82,0.15991*D145^2.32764, 0.15991*82^2.32764),AND(X145=INICIO!$B$32)*IF(D145&lt;=79.9,0.13657*D145^2.38351,0.13657*79.9^2.38351))</f>
        <v>381.03720595914871</v>
      </c>
      <c r="AJ145" s="56">
        <f t="shared" si="23"/>
        <v>7620.7441191829739</v>
      </c>
      <c r="AK145" s="56">
        <f>+AI145/1000*INICIO!$D$50</f>
        <v>0.17908748680079989</v>
      </c>
      <c r="AL145" s="56">
        <f>+AJ145/1000*INICIO!$D$50</f>
        <v>3.5817497360159973</v>
      </c>
      <c r="AM145" s="57" t="str">
        <f>+INICIO!$C$30</f>
        <v>UVG_B_Kg</v>
      </c>
    </row>
    <row r="146" spans="1:39" ht="15" x14ac:dyDescent="0.25">
      <c r="A146" s="24">
        <v>11</v>
      </c>
      <c r="B146" s="31">
        <f>'1BASE'!A146</f>
        <v>18</v>
      </c>
      <c r="C146" s="27" t="str">
        <f>'1BASE'!B146</f>
        <v>Cacao de montaña</v>
      </c>
      <c r="D146" s="26">
        <f>'1BASE'!C146</f>
        <v>14.9</v>
      </c>
      <c r="E146" s="27">
        <f>'1BASE'!D146</f>
        <v>0</v>
      </c>
      <c r="F146" s="27">
        <f>'1BASE'!E146</f>
        <v>0</v>
      </c>
      <c r="G146" s="27"/>
      <c r="H146" s="26">
        <f>'1BASE'!F146</f>
        <v>3.5</v>
      </c>
      <c r="I146" s="24">
        <f>'1BASE'!G146</f>
        <v>0</v>
      </c>
      <c r="J146" s="24">
        <f>'1BASE'!H146</f>
        <v>0</v>
      </c>
      <c r="K146" s="24"/>
      <c r="L146" s="24"/>
      <c r="M146" s="24"/>
      <c r="N146" s="24"/>
      <c r="O146" s="24"/>
      <c r="P146" s="24"/>
      <c r="Q146" s="24"/>
      <c r="R146" s="24"/>
      <c r="S146" s="5"/>
      <c r="T146" s="5"/>
      <c r="U146" s="1" t="s">
        <v>96</v>
      </c>
      <c r="V146" s="11">
        <v>0.05</v>
      </c>
      <c r="W146" s="1">
        <f>+INICIO!$C$34</f>
        <v>2014</v>
      </c>
      <c r="X146" s="1" t="str">
        <f>+INICIO!$B$32</f>
        <v>LATIFOLIADO</v>
      </c>
      <c r="Y146" s="50" t="str">
        <f t="shared" si="16"/>
        <v>DEJAR</v>
      </c>
      <c r="Z146" s="50" t="str">
        <f t="shared" si="17"/>
        <v>DEJAR</v>
      </c>
      <c r="AA146" s="50" t="str">
        <f t="shared" si="18"/>
        <v>DEJAR</v>
      </c>
      <c r="AB146" s="50" t="str">
        <f t="shared" si="19"/>
        <v>DEJAR</v>
      </c>
      <c r="AC146" s="52">
        <f t="shared" si="20"/>
        <v>1.7436624625586747E-2</v>
      </c>
      <c r="AD146" s="52">
        <f t="shared" si="21"/>
        <v>0.34873249251173494</v>
      </c>
      <c r="AE146" s="52">
        <f>+IF(X146=INICIO!$B$31,0.15991*D146^2.32764,AND(X146=INICIO!$B$32)*0.13657*D146^2.38351)</f>
        <v>85.439069920442137</v>
      </c>
      <c r="AF146" s="52">
        <f t="shared" si="22"/>
        <v>1708.7813984088427</v>
      </c>
      <c r="AG146" s="52">
        <f>+AE146/1000*INICIO!$D$50</f>
        <v>4.0156362862607799E-2</v>
      </c>
      <c r="AH146" s="52">
        <f>+AF146/1000*INICIO!$D$50</f>
        <v>0.80312725725215606</v>
      </c>
      <c r="AI146" s="55">
        <f>+IF(X146=INICIO!$B$31,IF(D146&lt;=82,0.15991*D146^2.32764, 0.15991*82^2.32764),AND(X146=INICIO!$B$32)*IF(D146&lt;=79.9,0.13657*D146^2.38351,0.13657*79.9^2.38351))</f>
        <v>85.439069920442137</v>
      </c>
      <c r="AJ146" s="56">
        <f t="shared" si="23"/>
        <v>1708.7813984088427</v>
      </c>
      <c r="AK146" s="56">
        <f>+AI146/1000*INICIO!$D$50</f>
        <v>4.0156362862607799E-2</v>
      </c>
      <c r="AL146" s="56">
        <f>+AJ146/1000*INICIO!$D$50</f>
        <v>0.80312725725215606</v>
      </c>
      <c r="AM146" s="57" t="str">
        <f>+INICIO!$C$30</f>
        <v>UVG_B_Kg</v>
      </c>
    </row>
    <row r="147" spans="1:39" ht="15" x14ac:dyDescent="0.25">
      <c r="A147" s="24">
        <v>11</v>
      </c>
      <c r="B147" s="31">
        <f>'1BASE'!A147</f>
        <v>19</v>
      </c>
      <c r="C147" s="27" t="str">
        <f>'1BASE'!B147</f>
        <v>Mano de leon</v>
      </c>
      <c r="D147" s="26">
        <f>'1BASE'!C147</f>
        <v>25.7</v>
      </c>
      <c r="E147" s="27">
        <f>'1BASE'!D147</f>
        <v>0</v>
      </c>
      <c r="F147" s="27">
        <f>'1BASE'!E147</f>
        <v>0</v>
      </c>
      <c r="G147" s="27"/>
      <c r="H147" s="26">
        <f>'1BASE'!F147</f>
        <v>6.5</v>
      </c>
      <c r="I147" s="24">
        <f>'1BASE'!G147</f>
        <v>0</v>
      </c>
      <c r="J147" s="24">
        <f>'1BASE'!H147</f>
        <v>0</v>
      </c>
      <c r="K147" s="24"/>
      <c r="L147" s="24"/>
      <c r="M147" s="24"/>
      <c r="N147" s="24"/>
      <c r="O147" s="24"/>
      <c r="P147" s="24"/>
      <c r="Q147" s="24"/>
      <c r="R147" s="24"/>
      <c r="S147" s="5"/>
      <c r="T147" s="5"/>
      <c r="U147" s="1" t="s">
        <v>96</v>
      </c>
      <c r="V147" s="11">
        <v>0.05</v>
      </c>
      <c r="W147" s="1">
        <f>+INICIO!$C$34</f>
        <v>2014</v>
      </c>
      <c r="X147" s="1" t="str">
        <f>+INICIO!$B$32</f>
        <v>LATIFOLIADO</v>
      </c>
      <c r="Y147" s="50" t="str">
        <f t="shared" si="16"/>
        <v>DEJAR</v>
      </c>
      <c r="Z147" s="50" t="str">
        <f t="shared" si="17"/>
        <v>DEJAR</v>
      </c>
      <c r="AA147" s="50" t="str">
        <f t="shared" si="18"/>
        <v>DEJAR</v>
      </c>
      <c r="AB147" s="50" t="str">
        <f t="shared" si="19"/>
        <v>DEJAR</v>
      </c>
      <c r="AC147" s="52">
        <f t="shared" si="20"/>
        <v>5.1874763294238062E-2</v>
      </c>
      <c r="AD147" s="52">
        <f t="shared" si="21"/>
        <v>1.0374952658847612</v>
      </c>
      <c r="AE147" s="52">
        <f>+IF(X147=INICIO!$B$31,0.15991*D147^2.32764,AND(X147=INICIO!$B$32)*0.13657*D147^2.38351)</f>
        <v>313.28890024594403</v>
      </c>
      <c r="AF147" s="52">
        <f t="shared" si="22"/>
        <v>6265.7780049188805</v>
      </c>
      <c r="AG147" s="52">
        <f>+AE147/1000*INICIO!$D$50</f>
        <v>0.14724578311559369</v>
      </c>
      <c r="AH147" s="52">
        <f>+AF147/1000*INICIO!$D$50</f>
        <v>2.9449156623118737</v>
      </c>
      <c r="AI147" s="55">
        <f>+IF(X147=INICIO!$B$31,IF(D147&lt;=82,0.15991*D147^2.32764, 0.15991*82^2.32764),AND(X147=INICIO!$B$32)*IF(D147&lt;=79.9,0.13657*D147^2.38351,0.13657*79.9^2.38351))</f>
        <v>313.28890024594403</v>
      </c>
      <c r="AJ147" s="56">
        <f t="shared" si="23"/>
        <v>6265.7780049188805</v>
      </c>
      <c r="AK147" s="56">
        <f>+AI147/1000*INICIO!$D$50</f>
        <v>0.14724578311559369</v>
      </c>
      <c r="AL147" s="56">
        <f>+AJ147/1000*INICIO!$D$50</f>
        <v>2.9449156623118737</v>
      </c>
      <c r="AM147" s="57" t="str">
        <f>+INICIO!$C$30</f>
        <v>UVG_B_Kg</v>
      </c>
    </row>
    <row r="148" spans="1:39" ht="15" x14ac:dyDescent="0.25">
      <c r="A148" s="24">
        <v>11</v>
      </c>
      <c r="B148" s="31">
        <f>'1BASE'!A148</f>
        <v>20</v>
      </c>
      <c r="C148" s="27">
        <f>'1BASE'!B148</f>
        <v>0</v>
      </c>
      <c r="D148" s="26">
        <f>'1BASE'!C148</f>
        <v>16.100000000000001</v>
      </c>
      <c r="E148" s="27">
        <f>'1BASE'!D148</f>
        <v>0</v>
      </c>
      <c r="F148" s="27">
        <f>'1BASE'!E148</f>
        <v>0</v>
      </c>
      <c r="G148" s="27"/>
      <c r="H148" s="26">
        <f>'1BASE'!F148</f>
        <v>3.5</v>
      </c>
      <c r="I148" s="24">
        <f>'1BASE'!G148</f>
        <v>0</v>
      </c>
      <c r="J148" s="24">
        <f>'1BASE'!H148</f>
        <v>0</v>
      </c>
      <c r="K148" s="24"/>
      <c r="L148" s="24"/>
      <c r="M148" s="24"/>
      <c r="N148" s="24"/>
      <c r="O148" s="24"/>
      <c r="P148" s="24"/>
      <c r="Q148" s="24"/>
      <c r="R148" s="24"/>
      <c r="S148" s="5"/>
      <c r="T148" s="5"/>
      <c r="U148" s="1" t="s">
        <v>96</v>
      </c>
      <c r="V148" s="11">
        <v>0.05</v>
      </c>
      <c r="W148" s="1">
        <f>+INICIO!$C$34</f>
        <v>2014</v>
      </c>
      <c r="X148" s="1" t="str">
        <f>+INICIO!$B$32</f>
        <v>LATIFOLIADO</v>
      </c>
      <c r="Y148" s="50" t="str">
        <f t="shared" si="16"/>
        <v>DEJAR</v>
      </c>
      <c r="Z148" s="50" t="str">
        <f t="shared" si="17"/>
        <v>DEJAR</v>
      </c>
      <c r="AA148" s="50" t="str">
        <f t="shared" si="18"/>
        <v>DEJAR</v>
      </c>
      <c r="AB148" s="50" t="str">
        <f t="shared" si="19"/>
        <v>DEJAR</v>
      </c>
      <c r="AC148" s="52">
        <f t="shared" si="20"/>
        <v>2.035830579342526E-2</v>
      </c>
      <c r="AD148" s="52">
        <f t="shared" si="21"/>
        <v>0.40716611586850515</v>
      </c>
      <c r="AE148" s="52">
        <f>+IF(X148=INICIO!$B$31,0.15991*D148^2.32764,AND(X148=INICIO!$B$32)*0.13657*D148^2.38351)</f>
        <v>102.76301866541384</v>
      </c>
      <c r="AF148" s="52">
        <f t="shared" si="22"/>
        <v>2055.2603733082765</v>
      </c>
      <c r="AG148" s="52">
        <f>+AE148/1000*INICIO!$D$50</f>
        <v>4.8298618772744502E-2</v>
      </c>
      <c r="AH148" s="52">
        <f>+AF148/1000*INICIO!$D$50</f>
        <v>0.9659723754548899</v>
      </c>
      <c r="AI148" s="55">
        <f>+IF(X148=INICIO!$B$31,IF(D148&lt;=82,0.15991*D148^2.32764, 0.15991*82^2.32764),AND(X148=INICIO!$B$32)*IF(D148&lt;=79.9,0.13657*D148^2.38351,0.13657*79.9^2.38351))</f>
        <v>102.76301866541384</v>
      </c>
      <c r="AJ148" s="56">
        <f t="shared" si="23"/>
        <v>2055.2603733082765</v>
      </c>
      <c r="AK148" s="56">
        <f>+AI148/1000*INICIO!$D$50</f>
        <v>4.8298618772744502E-2</v>
      </c>
      <c r="AL148" s="56">
        <f>+AJ148/1000*INICIO!$D$50</f>
        <v>0.9659723754548899</v>
      </c>
      <c r="AM148" s="57" t="str">
        <f>+INICIO!$C$30</f>
        <v>UVG_B_Kg</v>
      </c>
    </row>
    <row r="149" spans="1:39" ht="15" x14ac:dyDescent="0.25">
      <c r="A149" s="24">
        <v>11</v>
      </c>
      <c r="B149" s="31">
        <f>'1BASE'!A149</f>
        <v>21</v>
      </c>
      <c r="C149" s="24" t="str">
        <f>'1BASE'!B149</f>
        <v>Ceiba</v>
      </c>
      <c r="D149" s="26">
        <f>'1BASE'!C149</f>
        <v>12.2</v>
      </c>
      <c r="E149" s="27">
        <f>'1BASE'!D149</f>
        <v>0</v>
      </c>
      <c r="F149" s="27">
        <f>'1BASE'!E149</f>
        <v>0</v>
      </c>
      <c r="G149" s="27"/>
      <c r="H149" s="26">
        <f>'1BASE'!F149</f>
        <v>3</v>
      </c>
      <c r="I149" s="24">
        <f>'1BASE'!G149</f>
        <v>0</v>
      </c>
      <c r="J149" s="24">
        <f>'1BASE'!H149</f>
        <v>0</v>
      </c>
      <c r="K149" s="24"/>
      <c r="L149" s="24"/>
      <c r="M149" s="24"/>
      <c r="N149" s="24"/>
      <c r="O149" s="24"/>
      <c r="P149" s="24"/>
      <c r="Q149" s="24"/>
      <c r="R149" s="24"/>
      <c r="S149" s="5"/>
      <c r="T149" s="5"/>
      <c r="U149" s="1" t="s">
        <v>96</v>
      </c>
      <c r="V149" s="11">
        <v>0.05</v>
      </c>
      <c r="W149" s="1">
        <f>+INICIO!$C$34</f>
        <v>2014</v>
      </c>
      <c r="X149" s="1" t="str">
        <f>+INICIO!$B$32</f>
        <v>LATIFOLIADO</v>
      </c>
      <c r="Y149" s="50" t="str">
        <f t="shared" si="16"/>
        <v>DEJAR</v>
      </c>
      <c r="Z149" s="50" t="str">
        <f t="shared" si="17"/>
        <v>DEJAR</v>
      </c>
      <c r="AA149" s="50" t="str">
        <f t="shared" si="18"/>
        <v>DEJAR</v>
      </c>
      <c r="AB149" s="50" t="str">
        <f t="shared" si="19"/>
        <v>DEJAR</v>
      </c>
      <c r="AC149" s="52">
        <f t="shared" si="20"/>
        <v>1.168986626400762E-2</v>
      </c>
      <c r="AD149" s="52">
        <f t="shared" si="21"/>
        <v>0.23379732528015237</v>
      </c>
      <c r="AE149" s="52">
        <f>+IF(X149=INICIO!$B$31,0.15991*D149^2.32764,AND(X149=INICIO!$B$32)*0.13657*D149^2.38351)</f>
        <v>53.052374835244144</v>
      </c>
      <c r="AF149" s="52">
        <f t="shared" si="22"/>
        <v>1061.0474967048829</v>
      </c>
      <c r="AG149" s="52">
        <f>+AE149/1000*INICIO!$D$50</f>
        <v>2.4934616172564747E-2</v>
      </c>
      <c r="AH149" s="52">
        <f>+AF149/1000*INICIO!$D$50</f>
        <v>0.49869232345129494</v>
      </c>
      <c r="AI149" s="55">
        <f>+IF(X149=INICIO!$B$31,IF(D149&lt;=82,0.15991*D149^2.32764, 0.15991*82^2.32764),AND(X149=INICIO!$B$32)*IF(D149&lt;=79.9,0.13657*D149^2.38351,0.13657*79.9^2.38351))</f>
        <v>53.052374835244144</v>
      </c>
      <c r="AJ149" s="56">
        <f t="shared" si="23"/>
        <v>1061.0474967048829</v>
      </c>
      <c r="AK149" s="56">
        <f>+AI149/1000*INICIO!$D$50</f>
        <v>2.4934616172564747E-2</v>
      </c>
      <c r="AL149" s="56">
        <f>+AJ149/1000*INICIO!$D$50</f>
        <v>0.49869232345129494</v>
      </c>
      <c r="AM149" s="57" t="str">
        <f>+INICIO!$C$30</f>
        <v>UVG_B_Kg</v>
      </c>
    </row>
    <row r="150" spans="1:39" ht="15" x14ac:dyDescent="0.25">
      <c r="A150" s="24">
        <v>12</v>
      </c>
      <c r="B150" s="25">
        <f>'1BASE'!A150</f>
        <v>1</v>
      </c>
      <c r="C150" s="24">
        <f>'1BASE'!B150</f>
        <v>0</v>
      </c>
      <c r="D150" s="26">
        <f>'1BASE'!C150</f>
        <v>76.8</v>
      </c>
      <c r="E150" s="27">
        <f>'1BASE'!D150</f>
        <v>0</v>
      </c>
      <c r="F150" s="27">
        <f>'1BASE'!E150</f>
        <v>0</v>
      </c>
      <c r="G150" s="27"/>
      <c r="H150" s="26">
        <f>'1BASE'!F150</f>
        <v>11</v>
      </c>
      <c r="I150" s="22" t="str">
        <f>'1BASE'!G150</f>
        <v>X</v>
      </c>
      <c r="J150" s="22" t="str">
        <f>'1BASE'!H150</f>
        <v>Y</v>
      </c>
      <c r="K150" s="24"/>
      <c r="L150" s="24"/>
      <c r="M150" s="24"/>
      <c r="N150" s="24"/>
      <c r="O150" s="24"/>
      <c r="P150" s="24"/>
      <c r="Q150" s="24"/>
      <c r="R150" s="24"/>
      <c r="S150" s="5"/>
      <c r="T150" s="5"/>
      <c r="U150" s="1" t="s">
        <v>96</v>
      </c>
      <c r="V150" s="11">
        <v>0.05</v>
      </c>
      <c r="W150" s="1">
        <f>+INICIO!$C$34</f>
        <v>2014</v>
      </c>
      <c r="X150" s="1" t="str">
        <f>+INICIO!$B$32</f>
        <v>LATIFOLIADO</v>
      </c>
      <c r="Y150" s="50" t="str">
        <f t="shared" si="16"/>
        <v>DEJAR</v>
      </c>
      <c r="Z150" s="50" t="str">
        <f t="shared" si="17"/>
        <v>DEJAR</v>
      </c>
      <c r="AA150" s="50" t="str">
        <f t="shared" si="18"/>
        <v>DEJAR</v>
      </c>
      <c r="AB150" s="50" t="str">
        <f t="shared" si="19"/>
        <v>DEJAR</v>
      </c>
      <c r="AC150" s="52">
        <f t="shared" si="20"/>
        <v>0.46324668632773652</v>
      </c>
      <c r="AD150" s="52">
        <f t="shared" si="21"/>
        <v>9.2649337265547302</v>
      </c>
      <c r="AE150" s="52">
        <f>+IF(X150=INICIO!$B$31,0.15991*D150^2.32764,AND(X150=INICIO!$B$32)*0.13657*D150^2.38351)</f>
        <v>4257.2840822071357</v>
      </c>
      <c r="AF150" s="52">
        <f t="shared" si="22"/>
        <v>85145.681644142707</v>
      </c>
      <c r="AG150" s="52">
        <f>+AE150/1000*INICIO!$D$50</f>
        <v>2.0009235186373537</v>
      </c>
      <c r="AH150" s="52">
        <f>+AF150/1000*INICIO!$D$50</f>
        <v>40.018470372747075</v>
      </c>
      <c r="AI150" s="55">
        <f>+IF(X150=INICIO!$B$31,IF(D150&lt;=82,0.15991*D150^2.32764, 0.15991*82^2.32764),AND(X150=INICIO!$B$32)*IF(D150&lt;=79.9,0.13657*D150^2.38351,0.13657*79.9^2.38351))</f>
        <v>4257.2840822071357</v>
      </c>
      <c r="AJ150" s="56">
        <f t="shared" si="23"/>
        <v>85145.681644142707</v>
      </c>
      <c r="AK150" s="56">
        <f>+AI150/1000*INICIO!$D$50</f>
        <v>2.0009235186373537</v>
      </c>
      <c r="AL150" s="56">
        <f>+AJ150/1000*INICIO!$D$50</f>
        <v>40.018470372747075</v>
      </c>
      <c r="AM150" s="57" t="str">
        <f>+INICIO!$C$30</f>
        <v>UVG_B_Kg</v>
      </c>
    </row>
    <row r="151" spans="1:39" ht="15" x14ac:dyDescent="0.25">
      <c r="A151" s="24">
        <v>12</v>
      </c>
      <c r="B151" s="25">
        <f>'1BASE'!A151</f>
        <v>2</v>
      </c>
      <c r="C151" s="24">
        <f>'1BASE'!B151</f>
        <v>0</v>
      </c>
      <c r="D151" s="26">
        <f>'1BASE'!C151</f>
        <v>71.2</v>
      </c>
      <c r="E151" s="27">
        <f>'1BASE'!D151</f>
        <v>0</v>
      </c>
      <c r="F151" s="27">
        <f>'1BASE'!E151</f>
        <v>0</v>
      </c>
      <c r="G151" s="27"/>
      <c r="H151" s="26">
        <f>'1BASE'!F151</f>
        <v>16</v>
      </c>
      <c r="I151" s="22" t="str">
        <f>'1BASE'!G151</f>
        <v>88° 39' 4.7''</v>
      </c>
      <c r="J151" s="22" t="str">
        <f>'1BASE'!H151</f>
        <v>15° 41' 0.7''</v>
      </c>
      <c r="K151" s="24" t="str">
        <f>LEFT(I151,2)</f>
        <v>88</v>
      </c>
      <c r="L151" s="24" t="str">
        <f>+LEFT(RIGHT(I151,10),2)</f>
        <v xml:space="preserve"> 3</v>
      </c>
      <c r="M151" s="24" t="str">
        <f>+LEFT(RIGHT(I151,6),4)</f>
        <v xml:space="preserve"> 4.7</v>
      </c>
      <c r="N151" s="24">
        <f>(K151+((L151+(M151/60)/60)/60))*-1</f>
        <v>-88.050021759259266</v>
      </c>
      <c r="O151" s="24" t="str">
        <f>LEFT(J151,2)</f>
        <v>15</v>
      </c>
      <c r="P151" s="24" t="str">
        <f>+LEFT(RIGHT(J151,9),2)</f>
        <v>41</v>
      </c>
      <c r="Q151" s="24" t="str">
        <f>+LEFT(RIGHT(J151,6),4)</f>
        <v xml:space="preserve"> 0.7</v>
      </c>
      <c r="R151" s="24">
        <f>O151+((P151+(Q151/60)/60)/60)</f>
        <v>15.683336574074074</v>
      </c>
      <c r="S151" s="11">
        <v>698310.09492399998</v>
      </c>
      <c r="T151" s="11">
        <v>1735120.9251000001</v>
      </c>
      <c r="U151" s="1" t="s">
        <v>96</v>
      </c>
      <c r="V151" s="11">
        <v>0.05</v>
      </c>
      <c r="W151" s="1">
        <f>+INICIO!$C$34</f>
        <v>2014</v>
      </c>
      <c r="X151" s="1" t="str">
        <f>+INICIO!$B$32</f>
        <v>LATIFOLIADO</v>
      </c>
      <c r="Y151" s="50" t="str">
        <f t="shared" si="16"/>
        <v>DEJAR</v>
      </c>
      <c r="Z151" s="50" t="str">
        <f t="shared" si="17"/>
        <v>DEJAR</v>
      </c>
      <c r="AA151" s="50" t="str">
        <f t="shared" si="18"/>
        <v>DEJAR</v>
      </c>
      <c r="AB151" s="50" t="str">
        <f t="shared" si="19"/>
        <v>DEJAR</v>
      </c>
      <c r="AC151" s="52">
        <f t="shared" si="20"/>
        <v>0.39815288654535608</v>
      </c>
      <c r="AD151" s="52">
        <f t="shared" si="21"/>
        <v>7.9630577309071215</v>
      </c>
      <c r="AE151" s="52">
        <f>+IF(X151=INICIO!$B$31,0.15991*D151^2.32764,AND(X151=INICIO!$B$32)*0.13657*D151^2.38351)</f>
        <v>3554.3476110672777</v>
      </c>
      <c r="AF151" s="52">
        <f t="shared" si="22"/>
        <v>71086.952221345549</v>
      </c>
      <c r="AG151" s="52">
        <f>+AE151/1000*INICIO!$D$50</f>
        <v>1.6705433772016203</v>
      </c>
      <c r="AH151" s="52">
        <f>+AF151/1000*INICIO!$D$50</f>
        <v>33.410867544032406</v>
      </c>
      <c r="AI151" s="55">
        <f>+IF(X151=INICIO!$B$31,IF(D151&lt;=82,0.15991*D151^2.32764, 0.15991*82^2.32764),AND(X151=INICIO!$B$32)*IF(D151&lt;=79.9,0.13657*D151^2.38351,0.13657*79.9^2.38351))</f>
        <v>3554.3476110672777</v>
      </c>
      <c r="AJ151" s="56">
        <f t="shared" si="23"/>
        <v>71086.952221345549</v>
      </c>
      <c r="AK151" s="56">
        <f>+AI151/1000*INICIO!$D$50</f>
        <v>1.6705433772016203</v>
      </c>
      <c r="AL151" s="56">
        <f>+AJ151/1000*INICIO!$D$50</f>
        <v>33.410867544032406</v>
      </c>
      <c r="AM151" s="57" t="str">
        <f>+INICIO!$C$30</f>
        <v>UVG_B_Kg</v>
      </c>
    </row>
    <row r="152" spans="1:39" ht="15" x14ac:dyDescent="0.25">
      <c r="A152" s="24">
        <v>12</v>
      </c>
      <c r="B152" s="25">
        <f>'1BASE'!A152</f>
        <v>3</v>
      </c>
      <c r="C152" s="24">
        <f>'1BASE'!B152</f>
        <v>0</v>
      </c>
      <c r="D152" s="26">
        <f>'1BASE'!C152</f>
        <v>12.1</v>
      </c>
      <c r="E152" s="27">
        <f>'1BASE'!D152</f>
        <v>0</v>
      </c>
      <c r="F152" s="27">
        <f>'1BASE'!E152</f>
        <v>0</v>
      </c>
      <c r="G152" s="27"/>
      <c r="H152" s="26">
        <f>'1BASE'!F152</f>
        <v>5</v>
      </c>
      <c r="I152" s="24">
        <f>'1BASE'!G152</f>
        <v>0</v>
      </c>
      <c r="J152" s="24">
        <f>'1BASE'!H152</f>
        <v>0</v>
      </c>
      <c r="K152" s="24"/>
      <c r="L152" s="24"/>
      <c r="M152" s="24"/>
      <c r="N152" s="24"/>
      <c r="O152" s="24"/>
      <c r="P152" s="24"/>
      <c r="Q152" s="24"/>
      <c r="R152" s="24"/>
      <c r="S152" s="5"/>
      <c r="T152" s="5"/>
      <c r="U152" s="1" t="s">
        <v>96</v>
      </c>
      <c r="V152" s="11">
        <v>0.05</v>
      </c>
      <c r="W152" s="1">
        <f>+INICIO!$C$34</f>
        <v>2014</v>
      </c>
      <c r="X152" s="1" t="str">
        <f>+INICIO!$B$32</f>
        <v>LATIFOLIADO</v>
      </c>
      <c r="Y152" s="50" t="str">
        <f t="shared" si="16"/>
        <v>DEJAR</v>
      </c>
      <c r="Z152" s="50" t="str">
        <f t="shared" si="17"/>
        <v>DEJAR</v>
      </c>
      <c r="AA152" s="50" t="str">
        <f t="shared" si="18"/>
        <v>DEJAR</v>
      </c>
      <c r="AB152" s="50" t="str">
        <f t="shared" si="19"/>
        <v>DEJAR</v>
      </c>
      <c r="AC152" s="52">
        <f t="shared" si="20"/>
        <v>1.149901451030204E-2</v>
      </c>
      <c r="AD152" s="52">
        <f t="shared" si="21"/>
        <v>0.2299802902060408</v>
      </c>
      <c r="AE152" s="52">
        <f>+IF(X152=INICIO!$B$31,0.15991*D152^2.32764,AND(X152=INICIO!$B$32)*0.13657*D152^2.38351)</f>
        <v>52.021763144817932</v>
      </c>
      <c r="AF152" s="52">
        <f t="shared" si="22"/>
        <v>1040.4352628963586</v>
      </c>
      <c r="AG152" s="52">
        <f>+AE152/1000*INICIO!$D$50</f>
        <v>2.4450228678064428E-2</v>
      </c>
      <c r="AH152" s="52">
        <f>+AF152/1000*INICIO!$D$50</f>
        <v>0.48900457356128857</v>
      </c>
      <c r="AI152" s="55">
        <f>+IF(X152=INICIO!$B$31,IF(D152&lt;=82,0.15991*D152^2.32764, 0.15991*82^2.32764),AND(X152=INICIO!$B$32)*IF(D152&lt;=79.9,0.13657*D152^2.38351,0.13657*79.9^2.38351))</f>
        <v>52.021763144817932</v>
      </c>
      <c r="AJ152" s="56">
        <f t="shared" si="23"/>
        <v>1040.4352628963586</v>
      </c>
      <c r="AK152" s="56">
        <f>+AI152/1000*INICIO!$D$50</f>
        <v>2.4450228678064428E-2</v>
      </c>
      <c r="AL152" s="56">
        <f>+AJ152/1000*INICIO!$D$50</f>
        <v>0.48900457356128857</v>
      </c>
      <c r="AM152" s="57" t="str">
        <f>+INICIO!$C$30</f>
        <v>UVG_B_Kg</v>
      </c>
    </row>
    <row r="153" spans="1:39" ht="15" x14ac:dyDescent="0.25">
      <c r="A153" s="24">
        <v>12</v>
      </c>
      <c r="B153" s="25">
        <f>'1BASE'!A153</f>
        <v>4</v>
      </c>
      <c r="C153" s="24">
        <f>'1BASE'!B153</f>
        <v>0</v>
      </c>
      <c r="D153" s="26">
        <f>'1BASE'!C153</f>
        <v>16.2</v>
      </c>
      <c r="E153" s="27">
        <f>'1BASE'!D153</f>
        <v>0</v>
      </c>
      <c r="F153" s="27">
        <f>'1BASE'!E153</f>
        <v>0</v>
      </c>
      <c r="G153" s="27"/>
      <c r="H153" s="26">
        <f>'1BASE'!F153</f>
        <v>4.5</v>
      </c>
      <c r="I153" s="24">
        <f>'1BASE'!G153</f>
        <v>0</v>
      </c>
      <c r="J153" s="24">
        <f>'1BASE'!H153</f>
        <v>0</v>
      </c>
      <c r="K153" s="24"/>
      <c r="L153" s="24"/>
      <c r="M153" s="24"/>
      <c r="N153" s="24"/>
      <c r="O153" s="24"/>
      <c r="P153" s="24"/>
      <c r="Q153" s="24"/>
      <c r="R153" s="24"/>
      <c r="S153" s="5"/>
      <c r="T153" s="5"/>
      <c r="U153" s="1" t="s">
        <v>96</v>
      </c>
      <c r="V153" s="11">
        <v>0.05</v>
      </c>
      <c r="W153" s="1">
        <f>+INICIO!$C$34</f>
        <v>2014</v>
      </c>
      <c r="X153" s="1" t="str">
        <f>+INICIO!$B$32</f>
        <v>LATIFOLIADO</v>
      </c>
      <c r="Y153" s="50" t="str">
        <f t="shared" si="16"/>
        <v>DEJAR</v>
      </c>
      <c r="Z153" s="50" t="str">
        <f t="shared" si="17"/>
        <v>DEJAR</v>
      </c>
      <c r="AA153" s="50" t="str">
        <f t="shared" si="18"/>
        <v>DEJAR</v>
      </c>
      <c r="AB153" s="50" t="str">
        <f t="shared" si="19"/>
        <v>DEJAR</v>
      </c>
      <c r="AC153" s="52">
        <f t="shared" si="20"/>
        <v>2.0611989400202632E-2</v>
      </c>
      <c r="AD153" s="52">
        <f t="shared" si="21"/>
        <v>0.41223978800405264</v>
      </c>
      <c r="AE153" s="52">
        <f>+IF(X153=INICIO!$B$31,0.15991*D153^2.32764,AND(X153=INICIO!$B$32)*0.13657*D153^2.38351)</f>
        <v>104.29090634270933</v>
      </c>
      <c r="AF153" s="52">
        <f t="shared" si="22"/>
        <v>2085.8181268541866</v>
      </c>
      <c r="AG153" s="52">
        <f>+AE153/1000*INICIO!$D$50</f>
        <v>4.9016725981073386E-2</v>
      </c>
      <c r="AH153" s="52">
        <f>+AF153/1000*INICIO!$D$50</f>
        <v>0.98033451962146756</v>
      </c>
      <c r="AI153" s="55">
        <f>+IF(X153=INICIO!$B$31,IF(D153&lt;=82,0.15991*D153^2.32764, 0.15991*82^2.32764),AND(X153=INICIO!$B$32)*IF(D153&lt;=79.9,0.13657*D153^2.38351,0.13657*79.9^2.38351))</f>
        <v>104.29090634270933</v>
      </c>
      <c r="AJ153" s="56">
        <f t="shared" si="23"/>
        <v>2085.8181268541866</v>
      </c>
      <c r="AK153" s="56">
        <f>+AI153/1000*INICIO!$D$50</f>
        <v>4.9016725981073386E-2</v>
      </c>
      <c r="AL153" s="56">
        <f>+AJ153/1000*INICIO!$D$50</f>
        <v>0.98033451962146756</v>
      </c>
      <c r="AM153" s="57" t="str">
        <f>+INICIO!$C$30</f>
        <v>UVG_B_Kg</v>
      </c>
    </row>
    <row r="154" spans="1:39" ht="15" x14ac:dyDescent="0.25">
      <c r="A154" s="24">
        <v>12</v>
      </c>
      <c r="B154" s="25">
        <f>'1BASE'!A154</f>
        <v>5</v>
      </c>
      <c r="C154" s="24">
        <f>'1BASE'!B154</f>
        <v>0</v>
      </c>
      <c r="D154" s="26">
        <f>'1BASE'!C154</f>
        <v>30.29</v>
      </c>
      <c r="E154" s="27">
        <f>'1BASE'!D154</f>
        <v>0</v>
      </c>
      <c r="F154" s="27">
        <f>'1BASE'!E154</f>
        <v>0</v>
      </c>
      <c r="G154" s="27"/>
      <c r="H154" s="26">
        <f>'1BASE'!F154</f>
        <v>6</v>
      </c>
      <c r="I154" s="24">
        <f>'1BASE'!G154</f>
        <v>0</v>
      </c>
      <c r="J154" s="24">
        <f>'1BASE'!H154</f>
        <v>0</v>
      </c>
      <c r="K154" s="24"/>
      <c r="L154" s="24"/>
      <c r="M154" s="24"/>
      <c r="N154" s="24"/>
      <c r="O154" s="24"/>
      <c r="P154" s="24"/>
      <c r="Q154" s="24"/>
      <c r="R154" s="24"/>
      <c r="S154" s="5"/>
      <c r="T154" s="5"/>
      <c r="U154" s="1" t="s">
        <v>96</v>
      </c>
      <c r="V154" s="11">
        <v>0.05</v>
      </c>
      <c r="W154" s="1">
        <f>+INICIO!$C$34</f>
        <v>2014</v>
      </c>
      <c r="X154" s="1" t="str">
        <f>+INICIO!$B$32</f>
        <v>LATIFOLIADO</v>
      </c>
      <c r="Y154" s="50" t="str">
        <f t="shared" si="16"/>
        <v>DEJAR</v>
      </c>
      <c r="Z154" s="50" t="str">
        <f t="shared" si="17"/>
        <v>DEJAR</v>
      </c>
      <c r="AA154" s="50" t="str">
        <f t="shared" si="18"/>
        <v>DEJAR</v>
      </c>
      <c r="AB154" s="50" t="str">
        <f t="shared" si="19"/>
        <v>DEJAR</v>
      </c>
      <c r="AC154" s="52">
        <f t="shared" si="20"/>
        <v>7.2059032708636075E-2</v>
      </c>
      <c r="AD154" s="52">
        <f t="shared" si="21"/>
        <v>1.4411806541727215</v>
      </c>
      <c r="AE154" s="52">
        <f>+IF(X154=INICIO!$B$31,0.15991*D154^2.32764,AND(X154=INICIO!$B$32)*0.13657*D154^2.38351)</f>
        <v>463.49701375297406</v>
      </c>
      <c r="AF154" s="52">
        <f t="shared" si="22"/>
        <v>9269.94027505948</v>
      </c>
      <c r="AG154" s="52">
        <f>+AE154/1000*INICIO!$D$50</f>
        <v>0.21784359646389778</v>
      </c>
      <c r="AH154" s="52">
        <f>+AF154/1000*INICIO!$D$50</f>
        <v>4.356871929277955</v>
      </c>
      <c r="AI154" s="55">
        <f>+IF(X154=INICIO!$B$31,IF(D154&lt;=82,0.15991*D154^2.32764, 0.15991*82^2.32764),AND(X154=INICIO!$B$32)*IF(D154&lt;=79.9,0.13657*D154^2.38351,0.13657*79.9^2.38351))</f>
        <v>463.49701375297406</v>
      </c>
      <c r="AJ154" s="56">
        <f t="shared" si="23"/>
        <v>9269.94027505948</v>
      </c>
      <c r="AK154" s="56">
        <f>+AI154/1000*INICIO!$D$50</f>
        <v>0.21784359646389778</v>
      </c>
      <c r="AL154" s="56">
        <f>+AJ154/1000*INICIO!$D$50</f>
        <v>4.356871929277955</v>
      </c>
      <c r="AM154" s="57" t="str">
        <f>+INICIO!$C$30</f>
        <v>UVG_B_Kg</v>
      </c>
    </row>
    <row r="155" spans="1:39" ht="15" x14ac:dyDescent="0.25">
      <c r="A155" s="24">
        <v>12</v>
      </c>
      <c r="B155" s="25">
        <f>'1BASE'!A155</f>
        <v>6</v>
      </c>
      <c r="C155" s="24">
        <f>'1BASE'!B155</f>
        <v>0</v>
      </c>
      <c r="D155" s="26">
        <f>'1BASE'!C155</f>
        <v>26.2</v>
      </c>
      <c r="E155" s="27">
        <f>'1BASE'!D155</f>
        <v>0</v>
      </c>
      <c r="F155" s="27">
        <f>'1BASE'!E155</f>
        <v>0</v>
      </c>
      <c r="G155" s="27"/>
      <c r="H155" s="26">
        <f>'1BASE'!F155</f>
        <v>9</v>
      </c>
      <c r="I155" s="24">
        <f>'1BASE'!G155</f>
        <v>0</v>
      </c>
      <c r="J155" s="24">
        <f>'1BASE'!H155</f>
        <v>0</v>
      </c>
      <c r="K155" s="24"/>
      <c r="L155" s="24"/>
      <c r="M155" s="24"/>
      <c r="N155" s="24"/>
      <c r="O155" s="24"/>
      <c r="P155" s="24"/>
      <c r="Q155" s="24"/>
      <c r="R155" s="24"/>
      <c r="S155" s="5"/>
      <c r="T155" s="5"/>
      <c r="U155" s="1" t="s">
        <v>96</v>
      </c>
      <c r="V155" s="11">
        <v>0.05</v>
      </c>
      <c r="W155" s="1">
        <f>+INICIO!$C$34</f>
        <v>2014</v>
      </c>
      <c r="X155" s="1" t="str">
        <f>+INICIO!$B$32</f>
        <v>LATIFOLIADO</v>
      </c>
      <c r="Y155" s="50" t="str">
        <f t="shared" si="16"/>
        <v>DEJAR</v>
      </c>
      <c r="Z155" s="50" t="str">
        <f t="shared" si="17"/>
        <v>DEJAR</v>
      </c>
      <c r="AA155" s="50" t="str">
        <f t="shared" si="18"/>
        <v>DEJAR</v>
      </c>
      <c r="AB155" s="50" t="str">
        <f t="shared" si="19"/>
        <v>DEJAR</v>
      </c>
      <c r="AC155" s="52">
        <f t="shared" si="20"/>
        <v>5.3912871528254448E-2</v>
      </c>
      <c r="AD155" s="52">
        <f t="shared" si="21"/>
        <v>1.0782574305650889</v>
      </c>
      <c r="AE155" s="52">
        <f>+IF(X155=INICIO!$B$31,0.15991*D155^2.32764,AND(X155=INICIO!$B$32)*0.13657*D155^2.38351)</f>
        <v>328.01267071463769</v>
      </c>
      <c r="AF155" s="52">
        <f t="shared" si="22"/>
        <v>6560.2534142927534</v>
      </c>
      <c r="AG155" s="52">
        <f>+AE155/1000*INICIO!$D$50</f>
        <v>0.1541659552358797</v>
      </c>
      <c r="AH155" s="52">
        <f>+AF155/1000*INICIO!$D$50</f>
        <v>3.0833191047175941</v>
      </c>
      <c r="AI155" s="55">
        <f>+IF(X155=INICIO!$B$31,IF(D155&lt;=82,0.15991*D155^2.32764, 0.15991*82^2.32764),AND(X155=INICIO!$B$32)*IF(D155&lt;=79.9,0.13657*D155^2.38351,0.13657*79.9^2.38351))</f>
        <v>328.01267071463769</v>
      </c>
      <c r="AJ155" s="56">
        <f t="shared" si="23"/>
        <v>6560.2534142927534</v>
      </c>
      <c r="AK155" s="56">
        <f>+AI155/1000*INICIO!$D$50</f>
        <v>0.1541659552358797</v>
      </c>
      <c r="AL155" s="56">
        <f>+AJ155/1000*INICIO!$D$50</f>
        <v>3.0833191047175941</v>
      </c>
      <c r="AM155" s="57" t="str">
        <f>+INICIO!$C$30</f>
        <v>UVG_B_Kg</v>
      </c>
    </row>
    <row r="156" spans="1:39" ht="15" x14ac:dyDescent="0.25">
      <c r="A156" s="24">
        <v>12</v>
      </c>
      <c r="B156" s="25">
        <f>'1BASE'!A156</f>
        <v>7</v>
      </c>
      <c r="C156" s="24">
        <f>'1BASE'!B156</f>
        <v>0</v>
      </c>
      <c r="D156" s="26">
        <f>'1BASE'!C156</f>
        <v>44.2</v>
      </c>
      <c r="E156" s="27">
        <f>'1BASE'!D156</f>
        <v>0</v>
      </c>
      <c r="F156" s="27">
        <f>'1BASE'!E156</f>
        <v>0</v>
      </c>
      <c r="G156" s="27"/>
      <c r="H156" s="26">
        <f>'1BASE'!F156</f>
        <v>6</v>
      </c>
      <c r="I156" s="24">
        <f>'1BASE'!G156</f>
        <v>0</v>
      </c>
      <c r="J156" s="24">
        <f>'1BASE'!H156</f>
        <v>0</v>
      </c>
      <c r="K156" s="24"/>
      <c r="L156" s="24"/>
      <c r="M156" s="24"/>
      <c r="N156" s="24"/>
      <c r="O156" s="24"/>
      <c r="P156" s="24"/>
      <c r="Q156" s="24"/>
      <c r="R156" s="24"/>
      <c r="S156" s="5"/>
      <c r="T156" s="5"/>
      <c r="U156" s="1" t="s">
        <v>96</v>
      </c>
      <c r="V156" s="11">
        <v>0.05</v>
      </c>
      <c r="W156" s="1">
        <f>+INICIO!$C$34</f>
        <v>2014</v>
      </c>
      <c r="X156" s="1" t="str">
        <f>+INICIO!$B$32</f>
        <v>LATIFOLIADO</v>
      </c>
      <c r="Y156" s="50" t="str">
        <f t="shared" si="16"/>
        <v>DEJAR</v>
      </c>
      <c r="Z156" s="50" t="str">
        <f t="shared" si="17"/>
        <v>DEJAR</v>
      </c>
      <c r="AA156" s="50" t="str">
        <f t="shared" si="18"/>
        <v>DEJAR</v>
      </c>
      <c r="AB156" s="50" t="str">
        <f t="shared" si="19"/>
        <v>DEJAR</v>
      </c>
      <c r="AC156" s="52">
        <f t="shared" si="20"/>
        <v>0.1534385267939791</v>
      </c>
      <c r="AD156" s="52">
        <f t="shared" si="21"/>
        <v>3.0687705358795818</v>
      </c>
      <c r="AE156" s="52">
        <f>+IF(X156=INICIO!$B$31,0.15991*D156^2.32764,AND(X156=INICIO!$B$32)*0.13657*D156^2.38351)</f>
        <v>1140.8689030661244</v>
      </c>
      <c r="AF156" s="52">
        <f t="shared" si="22"/>
        <v>22817.378061322488</v>
      </c>
      <c r="AG156" s="52">
        <f>+AE156/1000*INICIO!$D$50</f>
        <v>0.53620838444107843</v>
      </c>
      <c r="AH156" s="52">
        <f>+AF156/1000*INICIO!$D$50</f>
        <v>10.724167688821568</v>
      </c>
      <c r="AI156" s="55">
        <f>+IF(X156=INICIO!$B$31,IF(D156&lt;=82,0.15991*D156^2.32764, 0.15991*82^2.32764),AND(X156=INICIO!$B$32)*IF(D156&lt;=79.9,0.13657*D156^2.38351,0.13657*79.9^2.38351))</f>
        <v>1140.8689030661244</v>
      </c>
      <c r="AJ156" s="56">
        <f t="shared" si="23"/>
        <v>22817.378061322488</v>
      </c>
      <c r="AK156" s="56">
        <f>+AI156/1000*INICIO!$D$50</f>
        <v>0.53620838444107843</v>
      </c>
      <c r="AL156" s="56">
        <f>+AJ156/1000*INICIO!$D$50</f>
        <v>10.724167688821568</v>
      </c>
      <c r="AM156" s="57" t="str">
        <f>+INICIO!$C$30</f>
        <v>UVG_B_Kg</v>
      </c>
    </row>
    <row r="157" spans="1:39" ht="15" x14ac:dyDescent="0.25">
      <c r="A157" s="24">
        <v>12</v>
      </c>
      <c r="B157" s="25">
        <f>'1BASE'!A157</f>
        <v>8</v>
      </c>
      <c r="C157" s="24">
        <f>'1BASE'!B157</f>
        <v>0</v>
      </c>
      <c r="D157" s="26">
        <f>'1BASE'!C157</f>
        <v>53</v>
      </c>
      <c r="E157" s="27">
        <f>'1BASE'!D157</f>
        <v>55</v>
      </c>
      <c r="F157" s="27">
        <f>'1BASE'!E157</f>
        <v>140</v>
      </c>
      <c r="G157" s="27">
        <f>(TAN(RADIANS(E157))*20)+(TAN(RADIANS(F157))*20)</f>
        <v>11.78096751129668</v>
      </c>
      <c r="H157" s="26">
        <f>'1BASE'!F157</f>
        <v>9</v>
      </c>
      <c r="I157" s="24">
        <f>'1BASE'!G157</f>
        <v>0</v>
      </c>
      <c r="J157" s="24">
        <f>'1BASE'!H157</f>
        <v>0</v>
      </c>
      <c r="K157" s="24"/>
      <c r="L157" s="24"/>
      <c r="M157" s="24"/>
      <c r="N157" s="24"/>
      <c r="O157" s="24"/>
      <c r="P157" s="24"/>
      <c r="Q157" s="24"/>
      <c r="R157" s="24"/>
      <c r="S157" s="5"/>
      <c r="T157" s="5"/>
      <c r="U157" s="1" t="s">
        <v>96</v>
      </c>
      <c r="V157" s="11">
        <v>0.05</v>
      </c>
      <c r="W157" s="1">
        <f>+INICIO!$C$34</f>
        <v>2014</v>
      </c>
      <c r="X157" s="1" t="str">
        <f>+INICIO!$B$32</f>
        <v>LATIFOLIADO</v>
      </c>
      <c r="Y157" s="50" t="str">
        <f t="shared" si="16"/>
        <v>DEJAR</v>
      </c>
      <c r="Z157" s="50" t="str">
        <f t="shared" si="17"/>
        <v>DEJAR</v>
      </c>
      <c r="AA157" s="50" t="str">
        <f t="shared" si="18"/>
        <v>DEJAR</v>
      </c>
      <c r="AB157" s="50" t="str">
        <f t="shared" si="19"/>
        <v>DEJAR</v>
      </c>
      <c r="AC157" s="52">
        <f t="shared" si="20"/>
        <v>0.22061834409834324</v>
      </c>
      <c r="AD157" s="52">
        <f t="shared" si="21"/>
        <v>4.4123668819668644</v>
      </c>
      <c r="AE157" s="52">
        <f>+IF(X157=INICIO!$B$31,0.15991*D157^2.32764,AND(X157=INICIO!$B$32)*0.13657*D157^2.38351)</f>
        <v>1758.6689149646609</v>
      </c>
      <c r="AF157" s="52">
        <f t="shared" si="22"/>
        <v>35173.378299293217</v>
      </c>
      <c r="AG157" s="52">
        <f>+AE157/1000*INICIO!$D$50</f>
        <v>0.8265743900333905</v>
      </c>
      <c r="AH157" s="52">
        <f>+AF157/1000*INICIO!$D$50</f>
        <v>16.531487800667811</v>
      </c>
      <c r="AI157" s="55">
        <f>+IF(X157=INICIO!$B$31,IF(D157&lt;=82,0.15991*D157^2.32764, 0.15991*82^2.32764),AND(X157=INICIO!$B$32)*IF(D157&lt;=79.9,0.13657*D157^2.38351,0.13657*79.9^2.38351))</f>
        <v>1758.6689149646609</v>
      </c>
      <c r="AJ157" s="56">
        <f t="shared" si="23"/>
        <v>35173.378299293217</v>
      </c>
      <c r="AK157" s="56">
        <f>+AI157/1000*INICIO!$D$50</f>
        <v>0.8265743900333905</v>
      </c>
      <c r="AL157" s="56">
        <f>+AJ157/1000*INICIO!$D$50</f>
        <v>16.531487800667811</v>
      </c>
      <c r="AM157" s="57" t="str">
        <f>+INICIO!$C$30</f>
        <v>UVG_B_Kg</v>
      </c>
    </row>
    <row r="158" spans="1:39" ht="15" x14ac:dyDescent="0.25">
      <c r="A158" s="24">
        <v>12</v>
      </c>
      <c r="B158" s="25">
        <f>'1BASE'!A158</f>
        <v>9</v>
      </c>
      <c r="C158" s="24">
        <f>'1BASE'!B158</f>
        <v>0</v>
      </c>
      <c r="D158" s="26">
        <f>'1BASE'!C158</f>
        <v>22.8</v>
      </c>
      <c r="E158" s="27">
        <f>'1BASE'!D158</f>
        <v>58</v>
      </c>
      <c r="F158" s="27">
        <f>'1BASE'!E158</f>
        <v>145</v>
      </c>
      <c r="G158" s="27">
        <f>(TAN(RADIANS(E158))*20)+(TAN(RADIANS(F158))*20)</f>
        <v>18.002539816626822</v>
      </c>
      <c r="H158" s="26">
        <f>'1BASE'!F158</f>
        <v>6</v>
      </c>
      <c r="I158" s="24">
        <f>'1BASE'!G158</f>
        <v>0</v>
      </c>
      <c r="J158" s="24">
        <f>'1BASE'!H158</f>
        <v>0</v>
      </c>
      <c r="K158" s="24"/>
      <c r="L158" s="24"/>
      <c r="M158" s="24"/>
      <c r="N158" s="24"/>
      <c r="O158" s="24"/>
      <c r="P158" s="24"/>
      <c r="Q158" s="24"/>
      <c r="R158" s="24"/>
      <c r="S158" s="5"/>
      <c r="T158" s="5"/>
      <c r="U158" s="1" t="s">
        <v>96</v>
      </c>
      <c r="V158" s="11">
        <v>0.05</v>
      </c>
      <c r="W158" s="1">
        <f>+INICIO!$C$34</f>
        <v>2014</v>
      </c>
      <c r="X158" s="1" t="str">
        <f>+INICIO!$B$32</f>
        <v>LATIFOLIADO</v>
      </c>
      <c r="Y158" s="50" t="str">
        <f t="shared" si="16"/>
        <v>DEJAR</v>
      </c>
      <c r="Z158" s="50" t="str">
        <f t="shared" si="17"/>
        <v>DEJAR</v>
      </c>
      <c r="AA158" s="50" t="str">
        <f t="shared" si="18"/>
        <v>DEJAR</v>
      </c>
      <c r="AB158" s="50" t="str">
        <f t="shared" si="19"/>
        <v>DEJAR</v>
      </c>
      <c r="AC158" s="52">
        <f t="shared" si="20"/>
        <v>4.0828138126052953E-2</v>
      </c>
      <c r="AD158" s="52">
        <f t="shared" si="21"/>
        <v>0.81656276252105897</v>
      </c>
      <c r="AE158" s="52">
        <f>+IF(X158=INICIO!$B$31,0.15991*D158^2.32764,AND(X158=INICIO!$B$32)*0.13657*D158^2.38351)</f>
        <v>235.50850554664373</v>
      </c>
      <c r="AF158" s="52">
        <f t="shared" si="22"/>
        <v>4710.1701109328742</v>
      </c>
      <c r="AG158" s="52">
        <f>+AE158/1000*INICIO!$D$50</f>
        <v>0.11068899760692255</v>
      </c>
      <c r="AH158" s="52">
        <f>+AF158/1000*INICIO!$D$50</f>
        <v>2.2137799521384509</v>
      </c>
      <c r="AI158" s="55">
        <f>+IF(X158=INICIO!$B$31,IF(D158&lt;=82,0.15991*D158^2.32764, 0.15991*82^2.32764),AND(X158=INICIO!$B$32)*IF(D158&lt;=79.9,0.13657*D158^2.38351,0.13657*79.9^2.38351))</f>
        <v>235.50850554664373</v>
      </c>
      <c r="AJ158" s="56">
        <f t="shared" si="23"/>
        <v>4710.1701109328742</v>
      </c>
      <c r="AK158" s="56">
        <f>+AI158/1000*INICIO!$D$50</f>
        <v>0.11068899760692255</v>
      </c>
      <c r="AL158" s="56">
        <f>+AJ158/1000*INICIO!$D$50</f>
        <v>2.2137799521384509</v>
      </c>
      <c r="AM158" s="57" t="str">
        <f>+INICIO!$C$30</f>
        <v>UVG_B_Kg</v>
      </c>
    </row>
    <row r="159" spans="1:39" ht="15" x14ac:dyDescent="0.25">
      <c r="A159" s="24">
        <v>12</v>
      </c>
      <c r="B159" s="25">
        <f>'1BASE'!A159</f>
        <v>10</v>
      </c>
      <c r="C159" s="24">
        <f>'1BASE'!B159</f>
        <v>0</v>
      </c>
      <c r="D159" s="26">
        <f>'1BASE'!C159</f>
        <v>38.700000000000003</v>
      </c>
      <c r="E159" s="27">
        <f>'1BASE'!D159</f>
        <v>0</v>
      </c>
      <c r="F159" s="27">
        <f>'1BASE'!E159</f>
        <v>0</v>
      </c>
      <c r="G159" s="27"/>
      <c r="H159" s="26">
        <f>'1BASE'!F159</f>
        <v>12</v>
      </c>
      <c r="I159" s="24">
        <f>'1BASE'!G159</f>
        <v>0</v>
      </c>
      <c r="J159" s="24">
        <f>'1BASE'!H159</f>
        <v>0</v>
      </c>
      <c r="K159" s="24"/>
      <c r="L159" s="24"/>
      <c r="M159" s="24"/>
      <c r="N159" s="24"/>
      <c r="O159" s="24"/>
      <c r="P159" s="24"/>
      <c r="Q159" s="24"/>
      <c r="R159" s="24"/>
      <c r="S159" s="5"/>
      <c r="T159" s="5"/>
      <c r="U159" s="1" t="s">
        <v>96</v>
      </c>
      <c r="V159" s="11">
        <v>0.05</v>
      </c>
      <c r="W159" s="1">
        <f>+INICIO!$C$34</f>
        <v>2014</v>
      </c>
      <c r="X159" s="1" t="str">
        <f>+INICIO!$B$32</f>
        <v>LATIFOLIADO</v>
      </c>
      <c r="Y159" s="50" t="str">
        <f t="shared" si="16"/>
        <v>DEJAR</v>
      </c>
      <c r="Z159" s="50" t="str">
        <f t="shared" si="17"/>
        <v>DEJAR</v>
      </c>
      <c r="AA159" s="50" t="str">
        <f t="shared" si="18"/>
        <v>DEJAR</v>
      </c>
      <c r="AB159" s="50" t="str">
        <f t="shared" si="19"/>
        <v>DEJAR</v>
      </c>
      <c r="AC159" s="52">
        <f t="shared" si="20"/>
        <v>0.11762829753387244</v>
      </c>
      <c r="AD159" s="52">
        <f t="shared" si="21"/>
        <v>2.3525659506774486</v>
      </c>
      <c r="AE159" s="52">
        <f>+IF(X159=INICIO!$B$31,0.15991*D159^2.32764,AND(X159=INICIO!$B$32)*0.13657*D159^2.38351)</f>
        <v>831.15165050587848</v>
      </c>
      <c r="AF159" s="52">
        <f t="shared" si="22"/>
        <v>16623.033010117568</v>
      </c>
      <c r="AG159" s="52">
        <f>+AE159/1000*INICIO!$D$50</f>
        <v>0.39064127573776286</v>
      </c>
      <c r="AH159" s="52">
        <f>+AF159/1000*INICIO!$D$50</f>
        <v>7.8128255147552563</v>
      </c>
      <c r="AI159" s="55">
        <f>+IF(X159=INICIO!$B$31,IF(D159&lt;=82,0.15991*D159^2.32764, 0.15991*82^2.32764),AND(X159=INICIO!$B$32)*IF(D159&lt;=79.9,0.13657*D159^2.38351,0.13657*79.9^2.38351))</f>
        <v>831.15165050587848</v>
      </c>
      <c r="AJ159" s="56">
        <f t="shared" si="23"/>
        <v>16623.033010117568</v>
      </c>
      <c r="AK159" s="56">
        <f>+AI159/1000*INICIO!$D$50</f>
        <v>0.39064127573776286</v>
      </c>
      <c r="AL159" s="56">
        <f>+AJ159/1000*INICIO!$D$50</f>
        <v>7.8128255147552563</v>
      </c>
      <c r="AM159" s="57" t="str">
        <f>+INICIO!$C$30</f>
        <v>UVG_B_Kg</v>
      </c>
    </row>
    <row r="160" spans="1:39" ht="15" x14ac:dyDescent="0.25">
      <c r="A160" s="24">
        <v>12</v>
      </c>
      <c r="B160" s="25">
        <f>'1BASE'!A160</f>
        <v>11</v>
      </c>
      <c r="C160" s="24">
        <f>'1BASE'!B160</f>
        <v>0</v>
      </c>
      <c r="D160" s="26">
        <f>'1BASE'!C160</f>
        <v>13.9</v>
      </c>
      <c r="E160" s="27">
        <f>'1BASE'!D160</f>
        <v>0</v>
      </c>
      <c r="F160" s="27">
        <f>'1BASE'!E160</f>
        <v>0</v>
      </c>
      <c r="G160" s="27"/>
      <c r="H160" s="26">
        <f>'1BASE'!F160</f>
        <v>7</v>
      </c>
      <c r="I160" s="24">
        <f>'1BASE'!G160</f>
        <v>0</v>
      </c>
      <c r="J160" s="24">
        <f>'1BASE'!H160</f>
        <v>0</v>
      </c>
      <c r="K160" s="24"/>
      <c r="L160" s="24"/>
      <c r="M160" s="24"/>
      <c r="N160" s="24"/>
      <c r="O160" s="24"/>
      <c r="P160" s="24"/>
      <c r="Q160" s="24"/>
      <c r="R160" s="24"/>
      <c r="S160" s="5"/>
      <c r="T160" s="5"/>
      <c r="U160" s="1" t="s">
        <v>96</v>
      </c>
      <c r="V160" s="11">
        <v>0.05</v>
      </c>
      <c r="W160" s="1">
        <f>+INICIO!$C$34</f>
        <v>2014</v>
      </c>
      <c r="X160" s="1" t="str">
        <f>+INICIO!$B$32</f>
        <v>LATIFOLIADO</v>
      </c>
      <c r="Y160" s="50" t="str">
        <f t="shared" si="16"/>
        <v>DEJAR</v>
      </c>
      <c r="Z160" s="50" t="str">
        <f t="shared" si="17"/>
        <v>DEJAR</v>
      </c>
      <c r="AA160" s="50" t="str">
        <f t="shared" si="18"/>
        <v>DEJAR</v>
      </c>
      <c r="AB160" s="50" t="str">
        <f t="shared" si="19"/>
        <v>DEJAR</v>
      </c>
      <c r="AC160" s="52">
        <f t="shared" si="20"/>
        <v>1.5174677915002103E-2</v>
      </c>
      <c r="AD160" s="52">
        <f t="shared" si="21"/>
        <v>0.30349355830004204</v>
      </c>
      <c r="AE160" s="52">
        <f>+IF(X160=INICIO!$B$31,0.15991*D160^2.32764,AND(X160=INICIO!$B$32)*0.13657*D160^2.38351)</f>
        <v>72.40065845714723</v>
      </c>
      <c r="AF160" s="52">
        <f t="shared" si="22"/>
        <v>1448.0131691429444</v>
      </c>
      <c r="AG160" s="52">
        <f>+AE160/1000*INICIO!$D$50</f>
        <v>3.4028309474859193E-2</v>
      </c>
      <c r="AH160" s="52">
        <f>+AF160/1000*INICIO!$D$50</f>
        <v>0.68056618949718384</v>
      </c>
      <c r="AI160" s="55">
        <f>+IF(X160=INICIO!$B$31,IF(D160&lt;=82,0.15991*D160^2.32764, 0.15991*82^2.32764),AND(X160=INICIO!$B$32)*IF(D160&lt;=79.9,0.13657*D160^2.38351,0.13657*79.9^2.38351))</f>
        <v>72.40065845714723</v>
      </c>
      <c r="AJ160" s="56">
        <f t="shared" si="23"/>
        <v>1448.0131691429444</v>
      </c>
      <c r="AK160" s="56">
        <f>+AI160/1000*INICIO!$D$50</f>
        <v>3.4028309474859193E-2</v>
      </c>
      <c r="AL160" s="56">
        <f>+AJ160/1000*INICIO!$D$50</f>
        <v>0.68056618949718384</v>
      </c>
      <c r="AM160" s="57" t="str">
        <f>+INICIO!$C$30</f>
        <v>UVG_B_Kg</v>
      </c>
    </row>
    <row r="161" spans="1:39" ht="15" x14ac:dyDescent="0.25">
      <c r="A161" s="24">
        <v>12</v>
      </c>
      <c r="B161" s="25">
        <f>'1BASE'!A161</f>
        <v>12</v>
      </c>
      <c r="C161" s="24">
        <f>'1BASE'!B161</f>
        <v>0</v>
      </c>
      <c r="D161" s="26">
        <f>'1BASE'!C161</f>
        <v>15.5</v>
      </c>
      <c r="E161" s="27">
        <f>'1BASE'!D161</f>
        <v>0</v>
      </c>
      <c r="F161" s="27">
        <f>'1BASE'!E161</f>
        <v>0</v>
      </c>
      <c r="G161" s="27"/>
      <c r="H161" s="26">
        <f>'1BASE'!F161</f>
        <v>7</v>
      </c>
      <c r="I161" s="24">
        <f>'1BASE'!G161</f>
        <v>0</v>
      </c>
      <c r="J161" s="24">
        <f>'1BASE'!H161</f>
        <v>0</v>
      </c>
      <c r="K161" s="24"/>
      <c r="L161" s="24"/>
      <c r="M161" s="24"/>
      <c r="N161" s="24"/>
      <c r="O161" s="24"/>
      <c r="P161" s="24"/>
      <c r="Q161" s="24"/>
      <c r="R161" s="24"/>
      <c r="S161" s="5"/>
      <c r="T161" s="5"/>
      <c r="U161" s="1" t="s">
        <v>96</v>
      </c>
      <c r="V161" s="11">
        <v>0.05</v>
      </c>
      <c r="W161" s="1">
        <f>+INICIO!$C$34</f>
        <v>2014</v>
      </c>
      <c r="X161" s="1" t="str">
        <f>+INICIO!$B$32</f>
        <v>LATIFOLIADO</v>
      </c>
      <c r="Y161" s="50" t="str">
        <f t="shared" si="16"/>
        <v>DEJAR</v>
      </c>
      <c r="Z161" s="50" t="str">
        <f t="shared" si="17"/>
        <v>DEJAR</v>
      </c>
      <c r="AA161" s="50" t="str">
        <f t="shared" si="18"/>
        <v>DEJAR</v>
      </c>
      <c r="AB161" s="50" t="str">
        <f t="shared" si="19"/>
        <v>DEJAR</v>
      </c>
      <c r="AC161" s="52">
        <f t="shared" si="20"/>
        <v>1.8869190875623696E-2</v>
      </c>
      <c r="AD161" s="52">
        <f t="shared" si="21"/>
        <v>0.37738381751247391</v>
      </c>
      <c r="AE161" s="52">
        <f>+IF(X161=INICIO!$B$31,0.15991*D161^2.32764,AND(X161=INICIO!$B$32)*0.13657*D161^2.38351)</f>
        <v>93.869134877908024</v>
      </c>
      <c r="AF161" s="52">
        <f t="shared" si="22"/>
        <v>1877.3826975581603</v>
      </c>
      <c r="AG161" s="52">
        <f>+AE161/1000*INICIO!$D$50</f>
        <v>4.4118493392616774E-2</v>
      </c>
      <c r="AH161" s="52">
        <f>+AF161/1000*INICIO!$D$50</f>
        <v>0.88236986785233529</v>
      </c>
      <c r="AI161" s="55">
        <f>+IF(X161=INICIO!$B$31,IF(D161&lt;=82,0.15991*D161^2.32764, 0.15991*82^2.32764),AND(X161=INICIO!$B$32)*IF(D161&lt;=79.9,0.13657*D161^2.38351,0.13657*79.9^2.38351))</f>
        <v>93.869134877908024</v>
      </c>
      <c r="AJ161" s="56">
        <f t="shared" si="23"/>
        <v>1877.3826975581603</v>
      </c>
      <c r="AK161" s="56">
        <f>+AI161/1000*INICIO!$D$50</f>
        <v>4.4118493392616774E-2</v>
      </c>
      <c r="AL161" s="56">
        <f>+AJ161/1000*INICIO!$D$50</f>
        <v>0.88236986785233529</v>
      </c>
      <c r="AM161" s="57" t="str">
        <f>+INICIO!$C$30</f>
        <v>UVG_B_Kg</v>
      </c>
    </row>
    <row r="162" spans="1:39" ht="15" x14ac:dyDescent="0.25">
      <c r="A162" s="24">
        <v>12</v>
      </c>
      <c r="B162" s="25">
        <f>'1BASE'!A162</f>
        <v>13</v>
      </c>
      <c r="C162" s="24">
        <f>'1BASE'!B162</f>
        <v>0</v>
      </c>
      <c r="D162" s="26">
        <f>'1BASE'!C162</f>
        <v>13.1</v>
      </c>
      <c r="E162" s="27">
        <f>'1BASE'!D162</f>
        <v>0</v>
      </c>
      <c r="F162" s="27">
        <f>'1BASE'!E162</f>
        <v>0</v>
      </c>
      <c r="G162" s="27"/>
      <c r="H162" s="26">
        <f>'1BASE'!F162</f>
        <v>4</v>
      </c>
      <c r="I162" s="24">
        <f>'1BASE'!G162</f>
        <v>0</v>
      </c>
      <c r="J162" s="24">
        <f>'1BASE'!H162</f>
        <v>0</v>
      </c>
      <c r="K162" s="24"/>
      <c r="L162" s="24"/>
      <c r="M162" s="24"/>
      <c r="N162" s="24"/>
      <c r="O162" s="24"/>
      <c r="P162" s="24"/>
      <c r="Q162" s="24"/>
      <c r="R162" s="24"/>
      <c r="S162" s="5"/>
      <c r="T162" s="5"/>
      <c r="U162" s="1" t="s">
        <v>96</v>
      </c>
      <c r="V162" s="11">
        <v>0.05</v>
      </c>
      <c r="W162" s="1">
        <f>+INICIO!$C$34</f>
        <v>2014</v>
      </c>
      <c r="X162" s="1" t="str">
        <f>+INICIO!$B$32</f>
        <v>LATIFOLIADO</v>
      </c>
      <c r="Y162" s="50" t="str">
        <f t="shared" si="16"/>
        <v>DEJAR</v>
      </c>
      <c r="Z162" s="50" t="str">
        <f t="shared" si="17"/>
        <v>DEJAR</v>
      </c>
      <c r="AA162" s="50" t="str">
        <f t="shared" si="18"/>
        <v>DEJAR</v>
      </c>
      <c r="AB162" s="50" t="str">
        <f t="shared" si="19"/>
        <v>DEJAR</v>
      </c>
      <c r="AC162" s="52">
        <f t="shared" si="20"/>
        <v>1.3478217882063612E-2</v>
      </c>
      <c r="AD162" s="52">
        <f t="shared" si="21"/>
        <v>0.26956435764127223</v>
      </c>
      <c r="AE162" s="52">
        <f>+IF(X162=INICIO!$B$31,0.15991*D162^2.32764,AND(X162=INICIO!$B$32)*0.13657*D162^2.38351)</f>
        <v>62.861192475550233</v>
      </c>
      <c r="AF162" s="52">
        <f t="shared" si="22"/>
        <v>1257.2238495110046</v>
      </c>
      <c r="AG162" s="52">
        <f>+AE162/1000*INICIO!$D$50</f>
        <v>2.954476046350861E-2</v>
      </c>
      <c r="AH162" s="52">
        <f>+AF162/1000*INICIO!$D$50</f>
        <v>0.59089520927017214</v>
      </c>
      <c r="AI162" s="55">
        <f>+IF(X162=INICIO!$B$31,IF(D162&lt;=82,0.15991*D162^2.32764, 0.15991*82^2.32764),AND(X162=INICIO!$B$32)*IF(D162&lt;=79.9,0.13657*D162^2.38351,0.13657*79.9^2.38351))</f>
        <v>62.861192475550233</v>
      </c>
      <c r="AJ162" s="56">
        <f t="shared" si="23"/>
        <v>1257.2238495110046</v>
      </c>
      <c r="AK162" s="56">
        <f>+AI162/1000*INICIO!$D$50</f>
        <v>2.954476046350861E-2</v>
      </c>
      <c r="AL162" s="56">
        <f>+AJ162/1000*INICIO!$D$50</f>
        <v>0.59089520927017214</v>
      </c>
      <c r="AM162" s="57" t="str">
        <f>+INICIO!$C$30</f>
        <v>UVG_B_Kg</v>
      </c>
    </row>
    <row r="163" spans="1:39" ht="15" x14ac:dyDescent="0.25">
      <c r="A163" s="24">
        <v>12</v>
      </c>
      <c r="B163" s="25">
        <f>'1BASE'!A163</f>
        <v>14</v>
      </c>
      <c r="C163" s="24">
        <f>'1BASE'!B163</f>
        <v>0</v>
      </c>
      <c r="D163" s="26">
        <f>'1BASE'!C163</f>
        <v>43.2</v>
      </c>
      <c r="E163" s="27">
        <f>'1BASE'!D163</f>
        <v>43</v>
      </c>
      <c r="F163" s="27">
        <f>'1BASE'!E163</f>
        <v>120</v>
      </c>
      <c r="G163" s="32">
        <f>(TAN(RADIANS(E163))*20)+(TAN(RADIANS(F163))*20)</f>
        <v>-15.990714428624329</v>
      </c>
      <c r="H163" s="26">
        <f>'1BASE'!F163</f>
        <v>5</v>
      </c>
      <c r="I163" s="24">
        <f>'1BASE'!G163</f>
        <v>0</v>
      </c>
      <c r="J163" s="24">
        <f>'1BASE'!H163</f>
        <v>0</v>
      </c>
      <c r="K163" s="24"/>
      <c r="L163" s="24"/>
      <c r="M163" s="24"/>
      <c r="N163" s="24"/>
      <c r="O163" s="24"/>
      <c r="P163" s="24"/>
      <c r="Q163" s="24"/>
      <c r="R163" s="24"/>
      <c r="S163" s="5"/>
      <c r="T163" s="5"/>
      <c r="U163" s="1" t="s">
        <v>96</v>
      </c>
      <c r="V163" s="11">
        <v>0.05</v>
      </c>
      <c r="W163" s="1">
        <f>+INICIO!$C$34</f>
        <v>2014</v>
      </c>
      <c r="X163" s="1" t="str">
        <f>+INICIO!$B$32</f>
        <v>LATIFOLIADO</v>
      </c>
      <c r="Y163" s="50" t="str">
        <f t="shared" si="16"/>
        <v>DEJAR</v>
      </c>
      <c r="Z163" s="50" t="str">
        <f t="shared" si="17"/>
        <v>DEJAR</v>
      </c>
      <c r="AA163" s="50" t="str">
        <f t="shared" si="18"/>
        <v>DEJAR</v>
      </c>
      <c r="AB163" s="50" t="str">
        <f t="shared" si="19"/>
        <v>DEJAR</v>
      </c>
      <c r="AC163" s="52">
        <f t="shared" si="20"/>
        <v>0.14657414684588541</v>
      </c>
      <c r="AD163" s="52">
        <f t="shared" si="21"/>
        <v>2.9314829369177078</v>
      </c>
      <c r="AE163" s="52">
        <f>+IF(X163=INICIO!$B$31,0.15991*D163^2.32764,AND(X163=INICIO!$B$32)*0.13657*D163^2.38351)</f>
        <v>1080.3069617119343</v>
      </c>
      <c r="AF163" s="52">
        <f t="shared" si="22"/>
        <v>21606.139234238683</v>
      </c>
      <c r="AG163" s="52">
        <f>+AE163/1000*INICIO!$D$50</f>
        <v>0.50774427200460914</v>
      </c>
      <c r="AH163" s="52">
        <f>+AF163/1000*INICIO!$D$50</f>
        <v>10.15488544009218</v>
      </c>
      <c r="AI163" s="55">
        <f>+IF(X163=INICIO!$B$31,IF(D163&lt;=82,0.15991*D163^2.32764, 0.15991*82^2.32764),AND(X163=INICIO!$B$32)*IF(D163&lt;=79.9,0.13657*D163^2.38351,0.13657*79.9^2.38351))</f>
        <v>1080.3069617119343</v>
      </c>
      <c r="AJ163" s="56">
        <f t="shared" si="23"/>
        <v>21606.139234238683</v>
      </c>
      <c r="AK163" s="56">
        <f>+AI163/1000*INICIO!$D$50</f>
        <v>0.50774427200460914</v>
      </c>
      <c r="AL163" s="56">
        <f>+AJ163/1000*INICIO!$D$50</f>
        <v>10.15488544009218</v>
      </c>
      <c r="AM163" s="57" t="str">
        <f>+INICIO!$C$30</f>
        <v>UVG_B_Kg</v>
      </c>
    </row>
    <row r="164" spans="1:39" ht="15" x14ac:dyDescent="0.25">
      <c r="A164" s="24">
        <v>12</v>
      </c>
      <c r="B164" s="25">
        <f>'1BASE'!A164</f>
        <v>15</v>
      </c>
      <c r="C164" s="24">
        <f>'1BASE'!B164</f>
        <v>0</v>
      </c>
      <c r="D164" s="26">
        <f>'1BASE'!C164</f>
        <v>26.8</v>
      </c>
      <c r="E164" s="27">
        <f>'1BASE'!D164</f>
        <v>0</v>
      </c>
      <c r="F164" s="27">
        <f>'1BASE'!E164</f>
        <v>0</v>
      </c>
      <c r="G164" s="24"/>
      <c r="H164" s="26">
        <f>'1BASE'!F164</f>
        <v>7</v>
      </c>
      <c r="I164" s="24">
        <f>'1BASE'!G164</f>
        <v>0</v>
      </c>
      <c r="J164" s="24">
        <f>'1BASE'!H164</f>
        <v>0</v>
      </c>
      <c r="K164" s="24"/>
      <c r="L164" s="24"/>
      <c r="M164" s="24"/>
      <c r="N164" s="24"/>
      <c r="O164" s="24"/>
      <c r="P164" s="24"/>
      <c r="Q164" s="24"/>
      <c r="R164" s="24"/>
      <c r="S164" s="5"/>
      <c r="T164" s="5"/>
      <c r="U164" s="1" t="s">
        <v>96</v>
      </c>
      <c r="V164" s="11">
        <v>0.05</v>
      </c>
      <c r="W164" s="1">
        <f>+INICIO!$C$34</f>
        <v>2014</v>
      </c>
      <c r="X164" s="1" t="str">
        <f>+INICIO!$B$32</f>
        <v>LATIFOLIADO</v>
      </c>
      <c r="Y164" s="50" t="str">
        <f t="shared" si="16"/>
        <v>DEJAR</v>
      </c>
      <c r="Z164" s="50" t="str">
        <f t="shared" si="17"/>
        <v>DEJAR</v>
      </c>
      <c r="AA164" s="50" t="str">
        <f t="shared" si="18"/>
        <v>DEJAR</v>
      </c>
      <c r="AB164" s="50" t="str">
        <f t="shared" si="19"/>
        <v>DEJAR</v>
      </c>
      <c r="AC164" s="52">
        <f t="shared" si="20"/>
        <v>5.6410437687858334E-2</v>
      </c>
      <c r="AD164" s="52">
        <f t="shared" si="21"/>
        <v>1.1282087537571666</v>
      </c>
      <c r="AE164" s="52">
        <f>+IF(X164=INICIO!$B$31,0.15991*D164^2.32764,AND(X164=INICIO!$B$32)*0.13657*D164^2.38351)</f>
        <v>346.20144188490201</v>
      </c>
      <c r="AF164" s="52">
        <f t="shared" si="22"/>
        <v>6924.0288376980398</v>
      </c>
      <c r="AG164" s="52">
        <f>+AE164/1000*INICIO!$D$50</f>
        <v>0.16271467768590392</v>
      </c>
      <c r="AH164" s="52">
        <f>+AF164/1000*INICIO!$D$50</f>
        <v>3.2542935537180786</v>
      </c>
      <c r="AI164" s="55">
        <f>+IF(X164=INICIO!$B$31,IF(D164&lt;=82,0.15991*D164^2.32764, 0.15991*82^2.32764),AND(X164=INICIO!$B$32)*IF(D164&lt;=79.9,0.13657*D164^2.38351,0.13657*79.9^2.38351))</f>
        <v>346.20144188490201</v>
      </c>
      <c r="AJ164" s="56">
        <f t="shared" si="23"/>
        <v>6924.0288376980398</v>
      </c>
      <c r="AK164" s="56">
        <f>+AI164/1000*INICIO!$D$50</f>
        <v>0.16271467768590392</v>
      </c>
      <c r="AL164" s="56">
        <f>+AJ164/1000*INICIO!$D$50</f>
        <v>3.2542935537180786</v>
      </c>
      <c r="AM164" s="57" t="str">
        <f>+INICIO!$C$30</f>
        <v>UVG_B_Kg</v>
      </c>
    </row>
    <row r="165" spans="1:39" ht="15" x14ac:dyDescent="0.25">
      <c r="A165" s="24">
        <v>12</v>
      </c>
      <c r="B165" s="29">
        <f>'1BASE'!A165</f>
        <v>16</v>
      </c>
      <c r="C165" s="30">
        <f>'1BASE'!B165</f>
        <v>0</v>
      </c>
      <c r="D165" s="26">
        <f>'1BASE'!C165</f>
        <v>18</v>
      </c>
      <c r="E165" s="27">
        <f>'1BASE'!D165</f>
        <v>0</v>
      </c>
      <c r="F165" s="27">
        <f>'1BASE'!E165</f>
        <v>0</v>
      </c>
      <c r="G165" s="30"/>
      <c r="H165" s="26">
        <f>'1BASE'!F165</f>
        <v>8</v>
      </c>
      <c r="I165" s="24">
        <f>'1BASE'!G165</f>
        <v>0</v>
      </c>
      <c r="J165" s="24">
        <f>'1BASE'!H165</f>
        <v>0</v>
      </c>
      <c r="K165" s="24"/>
      <c r="L165" s="24"/>
      <c r="M165" s="24"/>
      <c r="N165" s="24"/>
      <c r="O165" s="24"/>
      <c r="P165" s="24"/>
      <c r="Q165" s="24"/>
      <c r="R165" s="24"/>
      <c r="S165" s="5"/>
      <c r="T165" s="5"/>
      <c r="U165" s="1" t="s">
        <v>96</v>
      </c>
      <c r="V165" s="11">
        <v>0.05</v>
      </c>
      <c r="W165" s="1">
        <f>+INICIO!$C$34</f>
        <v>2014</v>
      </c>
      <c r="X165" s="1" t="str">
        <f>+INICIO!$B$32</f>
        <v>LATIFOLIADO</v>
      </c>
      <c r="Y165" s="50" t="str">
        <f t="shared" si="16"/>
        <v>DEJAR</v>
      </c>
      <c r="Z165" s="50" t="str">
        <f t="shared" si="17"/>
        <v>DEJAR</v>
      </c>
      <c r="AA165" s="50" t="str">
        <f t="shared" si="18"/>
        <v>DEJAR</v>
      </c>
      <c r="AB165" s="50" t="str">
        <f t="shared" si="19"/>
        <v>DEJAR</v>
      </c>
      <c r="AC165" s="52">
        <f t="shared" si="20"/>
        <v>2.5446900494077322E-2</v>
      </c>
      <c r="AD165" s="52">
        <f t="shared" si="21"/>
        <v>0.50893800988154636</v>
      </c>
      <c r="AE165" s="52">
        <f>+IF(X165=INICIO!$B$31,0.15991*D165^2.32764,AND(X165=INICIO!$B$32)*0.13657*D165^2.38351)</f>
        <v>134.06329154071116</v>
      </c>
      <c r="AF165" s="52">
        <f t="shared" si="22"/>
        <v>2681.2658308142231</v>
      </c>
      <c r="AG165" s="52">
        <f>+AE165/1000*INICIO!$D$50</f>
        <v>6.3009747024134241E-2</v>
      </c>
      <c r="AH165" s="52">
        <f>+AF165/1000*INICIO!$D$50</f>
        <v>1.2601949404826847</v>
      </c>
      <c r="AI165" s="55">
        <f>+IF(X165=INICIO!$B$31,IF(D165&lt;=82,0.15991*D165^2.32764, 0.15991*82^2.32764),AND(X165=INICIO!$B$32)*IF(D165&lt;=79.9,0.13657*D165^2.38351,0.13657*79.9^2.38351))</f>
        <v>134.06329154071116</v>
      </c>
      <c r="AJ165" s="56">
        <f t="shared" si="23"/>
        <v>2681.2658308142231</v>
      </c>
      <c r="AK165" s="56">
        <f>+AI165/1000*INICIO!$D$50</f>
        <v>6.3009747024134241E-2</v>
      </c>
      <c r="AL165" s="56">
        <f>+AJ165/1000*INICIO!$D$50</f>
        <v>1.2601949404826847</v>
      </c>
      <c r="AM165" s="57" t="str">
        <f>+INICIO!$C$30</f>
        <v>UVG_B_Kg</v>
      </c>
    </row>
    <row r="166" spans="1:39" ht="15" x14ac:dyDescent="0.25">
      <c r="A166" s="24">
        <v>12</v>
      </c>
      <c r="B166" s="29">
        <f>'1BASE'!A166</f>
        <v>17</v>
      </c>
      <c r="C166" s="24">
        <f>'1BASE'!B166</f>
        <v>0</v>
      </c>
      <c r="D166" s="26">
        <f>'1BASE'!C166</f>
        <v>11.9</v>
      </c>
      <c r="E166" s="27">
        <f>'1BASE'!D166</f>
        <v>0</v>
      </c>
      <c r="F166" s="27">
        <f>'1BASE'!E166</f>
        <v>0</v>
      </c>
      <c r="G166" s="24"/>
      <c r="H166" s="26">
        <f>'1BASE'!F166</f>
        <v>6</v>
      </c>
      <c r="I166" s="24">
        <f>'1BASE'!G166</f>
        <v>0</v>
      </c>
      <c r="J166" s="24">
        <f>'1BASE'!H166</f>
        <v>0</v>
      </c>
      <c r="K166" s="24"/>
      <c r="L166" s="24"/>
      <c r="M166" s="24"/>
      <c r="N166" s="24"/>
      <c r="O166" s="24"/>
      <c r="P166" s="24"/>
      <c r="Q166" s="24"/>
      <c r="R166" s="24"/>
      <c r="S166" s="5"/>
      <c r="T166" s="5"/>
      <c r="U166" s="1" t="s">
        <v>96</v>
      </c>
      <c r="V166" s="11">
        <v>0.05</v>
      </c>
      <c r="W166" s="1">
        <f>+INICIO!$C$34</f>
        <v>2014</v>
      </c>
      <c r="X166" s="1" t="str">
        <f>+INICIO!$B$32</f>
        <v>LATIFOLIADO</v>
      </c>
      <c r="Y166" s="50" t="str">
        <f t="shared" si="16"/>
        <v>DEJAR</v>
      </c>
      <c r="Z166" s="50" t="str">
        <f t="shared" si="17"/>
        <v>DEJAR</v>
      </c>
      <c r="AA166" s="50" t="str">
        <f t="shared" si="18"/>
        <v>DEJAR</v>
      </c>
      <c r="AB166" s="50" t="str">
        <f t="shared" si="19"/>
        <v>DEJAR</v>
      </c>
      <c r="AC166" s="52">
        <f t="shared" si="20"/>
        <v>1.1122023391871266E-2</v>
      </c>
      <c r="AD166" s="52">
        <f t="shared" si="21"/>
        <v>0.22244046783742533</v>
      </c>
      <c r="AE166" s="52">
        <f>+IF(X166=INICIO!$B$31,0.15991*D166^2.32764,AND(X166=INICIO!$B$32)*0.13657*D166^2.38351)</f>
        <v>49.995653256156423</v>
      </c>
      <c r="AF166" s="52">
        <f t="shared" si="22"/>
        <v>999.91306512312838</v>
      </c>
      <c r="AG166" s="52">
        <f>+AE166/1000*INICIO!$D$50</f>
        <v>2.3497957030393517E-2</v>
      </c>
      <c r="AH166" s="52">
        <f>+AF166/1000*INICIO!$D$50</f>
        <v>0.46995914060787031</v>
      </c>
      <c r="AI166" s="55">
        <f>+IF(X166=INICIO!$B$31,IF(D166&lt;=82,0.15991*D166^2.32764, 0.15991*82^2.32764),AND(X166=INICIO!$B$32)*IF(D166&lt;=79.9,0.13657*D166^2.38351,0.13657*79.9^2.38351))</f>
        <v>49.995653256156423</v>
      </c>
      <c r="AJ166" s="56">
        <f t="shared" si="23"/>
        <v>999.91306512312838</v>
      </c>
      <c r="AK166" s="56">
        <f>+AI166/1000*INICIO!$D$50</f>
        <v>2.3497957030393517E-2</v>
      </c>
      <c r="AL166" s="56">
        <f>+AJ166/1000*INICIO!$D$50</f>
        <v>0.46995914060787031</v>
      </c>
      <c r="AM166" s="57" t="str">
        <f>+INICIO!$C$30</f>
        <v>UVG_B_Kg</v>
      </c>
    </row>
    <row r="167" spans="1:39" ht="15" x14ac:dyDescent="0.25">
      <c r="A167" s="24">
        <v>12</v>
      </c>
      <c r="B167" s="31">
        <f>'1BASE'!A167</f>
        <v>18</v>
      </c>
      <c r="C167" s="27">
        <f>'1BASE'!B167</f>
        <v>0</v>
      </c>
      <c r="D167" s="26">
        <f>'1BASE'!C167</f>
        <v>14.6</v>
      </c>
      <c r="E167" s="27">
        <f>'1BASE'!D167</f>
        <v>0</v>
      </c>
      <c r="F167" s="27">
        <f>'1BASE'!E167</f>
        <v>0</v>
      </c>
      <c r="G167" s="27"/>
      <c r="H167" s="26">
        <f>'1BASE'!F167</f>
        <v>4</v>
      </c>
      <c r="I167" s="24">
        <f>'1BASE'!G167</f>
        <v>0</v>
      </c>
      <c r="J167" s="24">
        <f>'1BASE'!H167</f>
        <v>0</v>
      </c>
      <c r="K167" s="24"/>
      <c r="L167" s="24"/>
      <c r="M167" s="24"/>
      <c r="N167" s="24"/>
      <c r="O167" s="24"/>
      <c r="P167" s="24"/>
      <c r="Q167" s="24"/>
      <c r="R167" s="24"/>
      <c r="S167" s="5"/>
      <c r="T167" s="5"/>
      <c r="U167" s="1" t="s">
        <v>96</v>
      </c>
      <c r="V167" s="11">
        <v>0.05</v>
      </c>
      <c r="W167" s="1">
        <f>+INICIO!$C$34</f>
        <v>2014</v>
      </c>
      <c r="X167" s="1" t="str">
        <f>+INICIO!$B$32</f>
        <v>LATIFOLIADO</v>
      </c>
      <c r="Y167" s="50" t="str">
        <f t="shared" si="16"/>
        <v>DEJAR</v>
      </c>
      <c r="Z167" s="50" t="str">
        <f t="shared" si="17"/>
        <v>DEJAR</v>
      </c>
      <c r="AA167" s="50" t="str">
        <f t="shared" si="18"/>
        <v>DEJAR</v>
      </c>
      <c r="AB167" s="50" t="str">
        <f t="shared" si="19"/>
        <v>DEJAR</v>
      </c>
      <c r="AC167" s="52">
        <f t="shared" si="20"/>
        <v>1.6741547250980007E-2</v>
      </c>
      <c r="AD167" s="52">
        <f t="shared" si="21"/>
        <v>0.33483094501960009</v>
      </c>
      <c r="AE167" s="52">
        <f>+IF(X167=INICIO!$B$31,0.15991*D167^2.32764,AND(X167=INICIO!$B$32)*0.13657*D167^2.38351)</f>
        <v>81.395797882754522</v>
      </c>
      <c r="AF167" s="52">
        <f t="shared" si="22"/>
        <v>1627.9159576550903</v>
      </c>
      <c r="AG167" s="52">
        <f>+AE167/1000*INICIO!$D$50</f>
        <v>3.8256025004894625E-2</v>
      </c>
      <c r="AH167" s="52">
        <f>+AF167/1000*INICIO!$D$50</f>
        <v>0.76512050009789245</v>
      </c>
      <c r="AI167" s="55">
        <f>+IF(X167=INICIO!$B$31,IF(D167&lt;=82,0.15991*D167^2.32764, 0.15991*82^2.32764),AND(X167=INICIO!$B$32)*IF(D167&lt;=79.9,0.13657*D167^2.38351,0.13657*79.9^2.38351))</f>
        <v>81.395797882754522</v>
      </c>
      <c r="AJ167" s="56">
        <f t="shared" si="23"/>
        <v>1627.9159576550903</v>
      </c>
      <c r="AK167" s="56">
        <f>+AI167/1000*INICIO!$D$50</f>
        <v>3.8256025004894625E-2</v>
      </c>
      <c r="AL167" s="56">
        <f>+AJ167/1000*INICIO!$D$50</f>
        <v>0.76512050009789245</v>
      </c>
      <c r="AM167" s="57" t="str">
        <f>+INICIO!$C$30</f>
        <v>UVG_B_Kg</v>
      </c>
    </row>
    <row r="168" spans="1:39" ht="15" x14ac:dyDescent="0.25">
      <c r="A168" s="24">
        <v>12</v>
      </c>
      <c r="B168" s="31">
        <f>'1BASE'!A168</f>
        <v>19</v>
      </c>
      <c r="C168" s="27">
        <f>'1BASE'!B168</f>
        <v>0</v>
      </c>
      <c r="D168" s="26">
        <f>'1BASE'!C168</f>
        <v>32.299999999999997</v>
      </c>
      <c r="E168" s="27">
        <f>'1BASE'!D168</f>
        <v>0</v>
      </c>
      <c r="F168" s="27">
        <f>'1BASE'!E168</f>
        <v>0</v>
      </c>
      <c r="G168" s="27"/>
      <c r="H168" s="26">
        <f>'1BASE'!F168</f>
        <v>6</v>
      </c>
      <c r="I168" s="24">
        <f>'1BASE'!G168</f>
        <v>0</v>
      </c>
      <c r="J168" s="24">
        <f>'1BASE'!H168</f>
        <v>0</v>
      </c>
      <c r="K168" s="24"/>
      <c r="L168" s="24"/>
      <c r="M168" s="24"/>
      <c r="N168" s="24"/>
      <c r="O168" s="24"/>
      <c r="P168" s="24"/>
      <c r="Q168" s="24"/>
      <c r="R168" s="24"/>
      <c r="S168" s="5"/>
      <c r="T168" s="5"/>
      <c r="U168" s="1" t="s">
        <v>96</v>
      </c>
      <c r="V168" s="11">
        <v>0.05</v>
      </c>
      <c r="W168" s="1">
        <f>+INICIO!$C$34</f>
        <v>2014</v>
      </c>
      <c r="X168" s="1" t="str">
        <f>+INICIO!$B$32</f>
        <v>LATIFOLIADO</v>
      </c>
      <c r="Y168" s="50" t="str">
        <f t="shared" si="16"/>
        <v>DEJAR</v>
      </c>
      <c r="Z168" s="50" t="str">
        <f t="shared" si="17"/>
        <v>DEJAR</v>
      </c>
      <c r="AA168" s="50" t="str">
        <f t="shared" si="18"/>
        <v>DEJAR</v>
      </c>
      <c r="AB168" s="50" t="str">
        <f t="shared" si="19"/>
        <v>DEJAR</v>
      </c>
      <c r="AC168" s="52">
        <f t="shared" si="20"/>
        <v>8.1939804989092355E-2</v>
      </c>
      <c r="AD168" s="52">
        <f t="shared" si="21"/>
        <v>1.6387960997818469</v>
      </c>
      <c r="AE168" s="52">
        <f>+IF(X168=INICIO!$B$31,0.15991*D168^2.32764,AND(X168=INICIO!$B$32)*0.13657*D168^2.38351)</f>
        <v>540.20004174226926</v>
      </c>
      <c r="AF168" s="52">
        <f t="shared" si="22"/>
        <v>10804.000834845385</v>
      </c>
      <c r="AG168" s="52">
        <f>+AE168/1000*INICIO!$D$50</f>
        <v>0.25389401961886654</v>
      </c>
      <c r="AH168" s="52">
        <f>+AF168/1000*INICIO!$D$50</f>
        <v>5.0778803923773301</v>
      </c>
      <c r="AI168" s="55">
        <f>+IF(X168=INICIO!$B$31,IF(D168&lt;=82,0.15991*D168^2.32764, 0.15991*82^2.32764),AND(X168=INICIO!$B$32)*IF(D168&lt;=79.9,0.13657*D168^2.38351,0.13657*79.9^2.38351))</f>
        <v>540.20004174226926</v>
      </c>
      <c r="AJ168" s="56">
        <f t="shared" si="23"/>
        <v>10804.000834845385</v>
      </c>
      <c r="AK168" s="56">
        <f>+AI168/1000*INICIO!$D$50</f>
        <v>0.25389401961886654</v>
      </c>
      <c r="AL168" s="56">
        <f>+AJ168/1000*INICIO!$D$50</f>
        <v>5.0778803923773301</v>
      </c>
      <c r="AM168" s="57" t="str">
        <f>+INICIO!$C$30</f>
        <v>UVG_B_Kg</v>
      </c>
    </row>
    <row r="169" spans="1:39" ht="15" x14ac:dyDescent="0.25">
      <c r="A169" s="24">
        <v>12</v>
      </c>
      <c r="B169" s="31">
        <f>'1BASE'!A169</f>
        <v>20</v>
      </c>
      <c r="C169" s="27">
        <f>'1BASE'!B169</f>
        <v>0</v>
      </c>
      <c r="D169" s="26">
        <f>'1BASE'!C169</f>
        <v>49.1</v>
      </c>
      <c r="E169" s="27">
        <f>'1BASE'!D169</f>
        <v>0</v>
      </c>
      <c r="F169" s="27">
        <f>'1BASE'!E169</f>
        <v>0</v>
      </c>
      <c r="G169" s="27"/>
      <c r="H169" s="26">
        <f>'1BASE'!F169</f>
        <v>9</v>
      </c>
      <c r="I169" s="24">
        <f>'1BASE'!G169</f>
        <v>0</v>
      </c>
      <c r="J169" s="24">
        <f>'1BASE'!H169</f>
        <v>0</v>
      </c>
      <c r="K169" s="24"/>
      <c r="L169" s="24"/>
      <c r="M169" s="24"/>
      <c r="N169" s="24"/>
      <c r="O169" s="24"/>
      <c r="P169" s="24"/>
      <c r="Q169" s="24"/>
      <c r="R169" s="24"/>
      <c r="S169" s="5"/>
      <c r="T169" s="5"/>
      <c r="U169" s="1" t="s">
        <v>96</v>
      </c>
      <c r="V169" s="11">
        <v>0.05</v>
      </c>
      <c r="W169" s="1">
        <f>+INICIO!$C$34</f>
        <v>2014</v>
      </c>
      <c r="X169" s="1" t="str">
        <f>+INICIO!$B$32</f>
        <v>LATIFOLIADO</v>
      </c>
      <c r="Y169" s="50" t="str">
        <f t="shared" si="16"/>
        <v>DEJAR</v>
      </c>
      <c r="Z169" s="50" t="str">
        <f t="shared" si="17"/>
        <v>DEJAR</v>
      </c>
      <c r="AA169" s="50" t="str">
        <f t="shared" si="18"/>
        <v>DEJAR</v>
      </c>
      <c r="AB169" s="50" t="str">
        <f t="shared" si="19"/>
        <v>DEJAR</v>
      </c>
      <c r="AC169" s="52">
        <f t="shared" si="20"/>
        <v>0.18934457463002022</v>
      </c>
      <c r="AD169" s="52">
        <f t="shared" si="21"/>
        <v>3.7868914926004043</v>
      </c>
      <c r="AE169" s="52">
        <f>+IF(X169=INICIO!$B$31,0.15991*D169^2.32764,AND(X169=INICIO!$B$32)*0.13657*D169^2.38351)</f>
        <v>1465.7670568871054</v>
      </c>
      <c r="AF169" s="52">
        <f t="shared" si="22"/>
        <v>29315.341137742107</v>
      </c>
      <c r="AG169" s="52">
        <f>+AE169/1000*INICIO!$D$50</f>
        <v>0.68891051673693948</v>
      </c>
      <c r="AH169" s="52">
        <f>+AF169/1000*INICIO!$D$50</f>
        <v>13.778210334738789</v>
      </c>
      <c r="AI169" s="55">
        <f>+IF(X169=INICIO!$B$31,IF(D169&lt;=82,0.15991*D169^2.32764, 0.15991*82^2.32764),AND(X169=INICIO!$B$32)*IF(D169&lt;=79.9,0.13657*D169^2.38351,0.13657*79.9^2.38351))</f>
        <v>1465.7670568871054</v>
      </c>
      <c r="AJ169" s="56">
        <f t="shared" si="23"/>
        <v>29315.341137742107</v>
      </c>
      <c r="AK169" s="56">
        <f>+AI169/1000*INICIO!$D$50</f>
        <v>0.68891051673693948</v>
      </c>
      <c r="AL169" s="56">
        <f>+AJ169/1000*INICIO!$D$50</f>
        <v>13.778210334738789</v>
      </c>
      <c r="AM169" s="57" t="str">
        <f>+INICIO!$C$30</f>
        <v>UVG_B_Kg</v>
      </c>
    </row>
    <row r="170" spans="1:39" ht="15" x14ac:dyDescent="0.25">
      <c r="A170" s="24">
        <v>12</v>
      </c>
      <c r="B170" s="31">
        <f>'1BASE'!A170</f>
        <v>21</v>
      </c>
      <c r="C170" s="24">
        <f>'1BASE'!B170</f>
        <v>0</v>
      </c>
      <c r="D170" s="26">
        <f>'1BASE'!C170</f>
        <v>23</v>
      </c>
      <c r="E170" s="27">
        <f>'1BASE'!D170</f>
        <v>0</v>
      </c>
      <c r="F170" s="27">
        <f>'1BASE'!E170</f>
        <v>0</v>
      </c>
      <c r="G170" s="27"/>
      <c r="H170" s="26">
        <f>'1BASE'!F170</f>
        <v>6.5</v>
      </c>
      <c r="I170" s="24">
        <f>'1BASE'!G170</f>
        <v>0</v>
      </c>
      <c r="J170" s="24">
        <f>'1BASE'!H170</f>
        <v>0</v>
      </c>
      <c r="K170" s="24"/>
      <c r="L170" s="24"/>
      <c r="M170" s="24"/>
      <c r="N170" s="24"/>
      <c r="O170" s="24"/>
      <c r="P170" s="24"/>
      <c r="Q170" s="24"/>
      <c r="R170" s="24"/>
      <c r="S170" s="5"/>
      <c r="T170" s="5"/>
      <c r="U170" s="1" t="s">
        <v>96</v>
      </c>
      <c r="V170" s="11">
        <v>0.05</v>
      </c>
      <c r="W170" s="1">
        <f>+INICIO!$C$34</f>
        <v>2014</v>
      </c>
      <c r="X170" s="1" t="str">
        <f>+INICIO!$B$32</f>
        <v>LATIFOLIADO</v>
      </c>
      <c r="Y170" s="50" t="str">
        <f t="shared" si="16"/>
        <v>DEJAR</v>
      </c>
      <c r="Z170" s="50" t="str">
        <f t="shared" si="17"/>
        <v>DEJAR</v>
      </c>
      <c r="AA170" s="50" t="str">
        <f t="shared" si="18"/>
        <v>DEJAR</v>
      </c>
      <c r="AB170" s="50" t="str">
        <f t="shared" si="19"/>
        <v>DEJAR</v>
      </c>
      <c r="AC170" s="52">
        <f t="shared" si="20"/>
        <v>4.1547562843725017E-2</v>
      </c>
      <c r="AD170" s="52">
        <f t="shared" si="21"/>
        <v>0.83095125687450033</v>
      </c>
      <c r="AE170" s="52">
        <f>+IF(X170=INICIO!$B$31,0.15991*D170^2.32764,AND(X170=INICIO!$B$32)*0.13657*D170^2.38351)</f>
        <v>240.46242571758225</v>
      </c>
      <c r="AF170" s="52">
        <f t="shared" si="22"/>
        <v>4809.2485143516451</v>
      </c>
      <c r="AG170" s="52">
        <f>+AE170/1000*INICIO!$D$50</f>
        <v>0.11301734008726365</v>
      </c>
      <c r="AH170" s="52">
        <f>+AF170/1000*INICIO!$D$50</f>
        <v>2.260346801745273</v>
      </c>
      <c r="AI170" s="55">
        <f>+IF(X170=INICIO!$B$31,IF(D170&lt;=82,0.15991*D170^2.32764, 0.15991*82^2.32764),AND(X170=INICIO!$B$32)*IF(D170&lt;=79.9,0.13657*D170^2.38351,0.13657*79.9^2.38351))</f>
        <v>240.46242571758225</v>
      </c>
      <c r="AJ170" s="56">
        <f t="shared" si="23"/>
        <v>4809.2485143516451</v>
      </c>
      <c r="AK170" s="56">
        <f>+AI170/1000*INICIO!$D$50</f>
        <v>0.11301734008726365</v>
      </c>
      <c r="AL170" s="56">
        <f>+AJ170/1000*INICIO!$D$50</f>
        <v>2.260346801745273</v>
      </c>
      <c r="AM170" s="57" t="str">
        <f>+INICIO!$C$30</f>
        <v>UVG_B_Kg</v>
      </c>
    </row>
    <row r="171" spans="1:39" ht="15" x14ac:dyDescent="0.25">
      <c r="A171" s="24">
        <v>12</v>
      </c>
      <c r="B171" s="31">
        <f>'1BASE'!A171</f>
        <v>22</v>
      </c>
      <c r="C171" s="24">
        <f>'1BASE'!B171</f>
        <v>0</v>
      </c>
      <c r="D171" s="26">
        <f>'1BASE'!C171</f>
        <v>15</v>
      </c>
      <c r="E171" s="27">
        <f>'1BASE'!D171</f>
        <v>0</v>
      </c>
      <c r="F171" s="27">
        <f>'1BASE'!E171</f>
        <v>0</v>
      </c>
      <c r="G171" s="24"/>
      <c r="H171" s="26">
        <f>'1BASE'!F171</f>
        <v>7.5</v>
      </c>
      <c r="I171" s="24">
        <f>'1BASE'!G171</f>
        <v>0</v>
      </c>
      <c r="J171" s="24">
        <f>'1BASE'!H171</f>
        <v>0</v>
      </c>
      <c r="K171" s="24"/>
      <c r="L171" s="24"/>
      <c r="M171" s="24"/>
      <c r="N171" s="24"/>
      <c r="O171" s="24"/>
      <c r="P171" s="24"/>
      <c r="Q171" s="24"/>
      <c r="R171" s="24"/>
      <c r="S171" s="5"/>
      <c r="T171" s="5"/>
      <c r="U171" s="1" t="s">
        <v>96</v>
      </c>
      <c r="V171" s="11">
        <v>0.05</v>
      </c>
      <c r="W171" s="1">
        <f>+INICIO!$C$34</f>
        <v>2014</v>
      </c>
      <c r="X171" s="1" t="str">
        <f>+INICIO!$B$32</f>
        <v>LATIFOLIADO</v>
      </c>
      <c r="Y171" s="50" t="str">
        <f t="shared" si="16"/>
        <v>DEJAR</v>
      </c>
      <c r="Z171" s="50" t="str">
        <f t="shared" si="17"/>
        <v>DEJAR</v>
      </c>
      <c r="AA171" s="50" t="str">
        <f t="shared" si="18"/>
        <v>DEJAR</v>
      </c>
      <c r="AB171" s="50" t="str">
        <f t="shared" si="19"/>
        <v>DEJAR</v>
      </c>
      <c r="AC171" s="52">
        <f t="shared" si="20"/>
        <v>1.7671458676442587E-2</v>
      </c>
      <c r="AD171" s="52">
        <f t="shared" si="21"/>
        <v>0.35342917352885173</v>
      </c>
      <c r="AE171" s="52">
        <f>+IF(X171=INICIO!$B$31,0.15991*D171^2.32764,AND(X171=INICIO!$B$32)*0.13657*D171^2.38351)</f>
        <v>86.812164819560579</v>
      </c>
      <c r="AF171" s="52">
        <f t="shared" si="22"/>
        <v>1736.2432963912115</v>
      </c>
      <c r="AG171" s="52">
        <f>+AE171/1000*INICIO!$D$50</f>
        <v>4.0801717465193475E-2</v>
      </c>
      <c r="AH171" s="52">
        <f>+AF171/1000*INICIO!$D$50</f>
        <v>0.81603434930386942</v>
      </c>
      <c r="AI171" s="55">
        <f>+IF(X171=INICIO!$B$31,IF(D171&lt;=82,0.15991*D171^2.32764, 0.15991*82^2.32764),AND(X171=INICIO!$B$32)*IF(D171&lt;=79.9,0.13657*D171^2.38351,0.13657*79.9^2.38351))</f>
        <v>86.812164819560579</v>
      </c>
      <c r="AJ171" s="56">
        <f t="shared" si="23"/>
        <v>1736.2432963912115</v>
      </c>
      <c r="AK171" s="56">
        <f>+AI171/1000*INICIO!$D$50</f>
        <v>4.0801717465193475E-2</v>
      </c>
      <c r="AL171" s="56">
        <f>+AJ171/1000*INICIO!$D$50</f>
        <v>0.81603434930386942</v>
      </c>
      <c r="AM171" s="57" t="str">
        <f>+INICIO!$C$30</f>
        <v>UVG_B_Kg</v>
      </c>
    </row>
    <row r="172" spans="1:39" ht="15" x14ac:dyDescent="0.25">
      <c r="A172" s="24">
        <v>13</v>
      </c>
      <c r="B172" s="25">
        <f>'1BASE'!A172</f>
        <v>1</v>
      </c>
      <c r="C172" s="24">
        <f>'1BASE'!B172</f>
        <v>0</v>
      </c>
      <c r="D172" s="26">
        <f>'1BASE'!C172</f>
        <v>51</v>
      </c>
      <c r="E172" s="27">
        <f>'1BASE'!D172</f>
        <v>0</v>
      </c>
      <c r="F172" s="27">
        <f>'1BASE'!E172</f>
        <v>0</v>
      </c>
      <c r="G172" s="27"/>
      <c r="H172" s="26">
        <f>'1BASE'!F172</f>
        <v>8</v>
      </c>
      <c r="I172" s="22" t="str">
        <f>'1BASE'!G172</f>
        <v>X</v>
      </c>
      <c r="J172" s="22" t="str">
        <f>'1BASE'!H172</f>
        <v>Y</v>
      </c>
      <c r="K172" s="24"/>
      <c r="L172" s="24"/>
      <c r="M172" s="24"/>
      <c r="N172" s="24"/>
      <c r="O172" s="24"/>
      <c r="P172" s="24"/>
      <c r="Q172" s="24"/>
      <c r="R172" s="24"/>
      <c r="S172" s="5"/>
      <c r="T172" s="5"/>
      <c r="U172" s="1" t="s">
        <v>96</v>
      </c>
      <c r="V172" s="11">
        <v>0.05</v>
      </c>
      <c r="W172" s="1">
        <f>+INICIO!$C$34</f>
        <v>2014</v>
      </c>
      <c r="X172" s="1" t="str">
        <f>+INICIO!$B$32</f>
        <v>LATIFOLIADO</v>
      </c>
      <c r="Y172" s="50" t="str">
        <f t="shared" si="16"/>
        <v>DEJAR</v>
      </c>
      <c r="Z172" s="50" t="str">
        <f t="shared" si="17"/>
        <v>DEJAR</v>
      </c>
      <c r="AA172" s="50" t="str">
        <f t="shared" si="18"/>
        <v>DEJAR</v>
      </c>
      <c r="AB172" s="50" t="str">
        <f t="shared" si="19"/>
        <v>DEJAR</v>
      </c>
      <c r="AC172" s="52">
        <f t="shared" si="20"/>
        <v>0.2042820622996763</v>
      </c>
      <c r="AD172" s="52">
        <f t="shared" si="21"/>
        <v>4.0856412459935258</v>
      </c>
      <c r="AE172" s="52">
        <f>+IF(X172=INICIO!$B$31,0.15991*D172^2.32764,AND(X172=INICIO!$B$32)*0.13657*D172^2.38351)</f>
        <v>1604.5967189869084</v>
      </c>
      <c r="AF172" s="52">
        <f t="shared" si="22"/>
        <v>32091.934379738166</v>
      </c>
      <c r="AG172" s="52">
        <f>+AE172/1000*INICIO!$D$50</f>
        <v>0.75416045792384689</v>
      </c>
      <c r="AH172" s="52">
        <f>+AF172/1000*INICIO!$D$50</f>
        <v>15.083209158476937</v>
      </c>
      <c r="AI172" s="55">
        <f>+IF(X172=INICIO!$B$31,IF(D172&lt;=82,0.15991*D172^2.32764, 0.15991*82^2.32764),AND(X172=INICIO!$B$32)*IF(D172&lt;=79.9,0.13657*D172^2.38351,0.13657*79.9^2.38351))</f>
        <v>1604.5967189869084</v>
      </c>
      <c r="AJ172" s="56">
        <f t="shared" si="23"/>
        <v>32091.934379738166</v>
      </c>
      <c r="AK172" s="56">
        <f>+AI172/1000*INICIO!$D$50</f>
        <v>0.75416045792384689</v>
      </c>
      <c r="AL172" s="56">
        <f>+AJ172/1000*INICIO!$D$50</f>
        <v>15.083209158476937</v>
      </c>
      <c r="AM172" s="57" t="str">
        <f>+INICIO!$C$30</f>
        <v>UVG_B_Kg</v>
      </c>
    </row>
    <row r="173" spans="1:39" ht="15" x14ac:dyDescent="0.25">
      <c r="A173" s="24">
        <v>13</v>
      </c>
      <c r="B173" s="25">
        <f>'1BASE'!A173</f>
        <v>2</v>
      </c>
      <c r="C173" s="24">
        <f>'1BASE'!B173</f>
        <v>0</v>
      </c>
      <c r="D173" s="26">
        <f>'1BASE'!C173</f>
        <v>11.6</v>
      </c>
      <c r="E173" s="27">
        <f>'1BASE'!D173</f>
        <v>0</v>
      </c>
      <c r="F173" s="27">
        <f>'1BASE'!E173</f>
        <v>0</v>
      </c>
      <c r="G173" s="27"/>
      <c r="H173" s="26">
        <f>'1BASE'!F173</f>
        <v>3</v>
      </c>
      <c r="I173" s="22" t="str">
        <f>'1BASE'!G173</f>
        <v>88° 38' 52.7''</v>
      </c>
      <c r="J173" s="22" t="str">
        <f>'1BASE'!H173</f>
        <v>15° 41' 1.9''</v>
      </c>
      <c r="K173" s="24" t="str">
        <f>LEFT(I173,2)</f>
        <v>88</v>
      </c>
      <c r="L173" s="24" t="str">
        <f>+LEFT(RIGHT(I173,10),2)</f>
        <v>38</v>
      </c>
      <c r="M173" s="24" t="str">
        <f>+LEFT(RIGHT(I173,6),4)</f>
        <v>52.7</v>
      </c>
      <c r="N173" s="24">
        <f>(K173+((L173+(M173/60)/60)/60))*-1</f>
        <v>-88.633577314814815</v>
      </c>
      <c r="O173" s="24" t="str">
        <f>LEFT(J173,2)</f>
        <v>15</v>
      </c>
      <c r="P173" s="24" t="str">
        <f>+LEFT(RIGHT(J173,9),2)</f>
        <v>41</v>
      </c>
      <c r="Q173" s="24" t="str">
        <f>+LEFT(RIGHT(J173,6),4)</f>
        <v xml:space="preserve"> 1.9</v>
      </c>
      <c r="R173" s="24">
        <f>O173+((P173+(Q173/60)/60)/60)</f>
        <v>15.683342129629629</v>
      </c>
      <c r="S173" s="11">
        <v>700073.40041</v>
      </c>
      <c r="T173" s="11">
        <v>1735137.0044</v>
      </c>
      <c r="U173" s="1" t="s">
        <v>96</v>
      </c>
      <c r="V173" s="11">
        <v>0.05</v>
      </c>
      <c r="W173" s="1">
        <f>+INICIO!$C$34</f>
        <v>2014</v>
      </c>
      <c r="X173" s="1" t="str">
        <f>+INICIO!$B$32</f>
        <v>LATIFOLIADO</v>
      </c>
      <c r="Y173" s="50" t="str">
        <f t="shared" si="16"/>
        <v>DEJAR</v>
      </c>
      <c r="Z173" s="50" t="str">
        <f t="shared" si="17"/>
        <v>DEJAR</v>
      </c>
      <c r="AA173" s="50" t="str">
        <f t="shared" si="18"/>
        <v>DEJAR</v>
      </c>
      <c r="AB173" s="50" t="str">
        <f t="shared" si="19"/>
        <v>DEJAR</v>
      </c>
      <c r="AC173" s="52">
        <f t="shared" si="20"/>
        <v>1.0568317686676062E-2</v>
      </c>
      <c r="AD173" s="52">
        <f t="shared" si="21"/>
        <v>0.21136635373352122</v>
      </c>
      <c r="AE173" s="52">
        <f>+IF(X173=INICIO!$B$31,0.15991*D173^2.32764,AND(X173=INICIO!$B$32)*0.13657*D173^2.38351)</f>
        <v>47.043710780074015</v>
      </c>
      <c r="AF173" s="52">
        <f t="shared" si="22"/>
        <v>940.87421560148027</v>
      </c>
      <c r="AG173" s="52">
        <f>+AE173/1000*INICIO!$D$50</f>
        <v>2.2110544066634787E-2</v>
      </c>
      <c r="AH173" s="52">
        <f>+AF173/1000*INICIO!$D$50</f>
        <v>0.4422108813326957</v>
      </c>
      <c r="AI173" s="55">
        <f>+IF(X173=INICIO!$B$31,IF(D173&lt;=82,0.15991*D173^2.32764, 0.15991*82^2.32764),AND(X173=INICIO!$B$32)*IF(D173&lt;=79.9,0.13657*D173^2.38351,0.13657*79.9^2.38351))</f>
        <v>47.043710780074015</v>
      </c>
      <c r="AJ173" s="56">
        <f t="shared" si="23"/>
        <v>940.87421560148027</v>
      </c>
      <c r="AK173" s="56">
        <f>+AI173/1000*INICIO!$D$50</f>
        <v>2.2110544066634787E-2</v>
      </c>
      <c r="AL173" s="56">
        <f>+AJ173/1000*INICIO!$D$50</f>
        <v>0.4422108813326957</v>
      </c>
      <c r="AM173" s="57" t="str">
        <f>+INICIO!$C$30</f>
        <v>UVG_B_Kg</v>
      </c>
    </row>
    <row r="174" spans="1:39" ht="15" x14ac:dyDescent="0.25">
      <c r="A174" s="24">
        <v>13</v>
      </c>
      <c r="B174" s="25">
        <f>'1BASE'!A174</f>
        <v>3</v>
      </c>
      <c r="C174" s="24">
        <f>'1BASE'!B174</f>
        <v>0</v>
      </c>
      <c r="D174" s="26">
        <f>'1BASE'!C174</f>
        <v>13.5</v>
      </c>
      <c r="E174" s="27">
        <f>'1BASE'!D174</f>
        <v>0</v>
      </c>
      <c r="F174" s="27">
        <f>'1BASE'!E174</f>
        <v>0</v>
      </c>
      <c r="G174" s="27"/>
      <c r="H174" s="26">
        <f>'1BASE'!F174</f>
        <v>3.5</v>
      </c>
      <c r="I174" s="24">
        <f>'1BASE'!G174</f>
        <v>0</v>
      </c>
      <c r="J174" s="24">
        <f>'1BASE'!H174</f>
        <v>0</v>
      </c>
      <c r="K174" s="24"/>
      <c r="L174" s="24"/>
      <c r="M174" s="24"/>
      <c r="N174" s="24"/>
      <c r="O174" s="24"/>
      <c r="P174" s="24"/>
      <c r="Q174" s="24"/>
      <c r="R174" s="24"/>
      <c r="S174" s="5"/>
      <c r="T174" s="5"/>
      <c r="U174" s="1" t="s">
        <v>96</v>
      </c>
      <c r="V174" s="11">
        <v>0.05</v>
      </c>
      <c r="W174" s="1">
        <f>+INICIO!$C$34</f>
        <v>2014</v>
      </c>
      <c r="X174" s="1" t="str">
        <f>+INICIO!$B$32</f>
        <v>LATIFOLIADO</v>
      </c>
      <c r="Y174" s="50" t="str">
        <f t="shared" si="16"/>
        <v>DEJAR</v>
      </c>
      <c r="Z174" s="50" t="str">
        <f t="shared" si="17"/>
        <v>DEJAR</v>
      </c>
      <c r="AA174" s="50" t="str">
        <f t="shared" si="18"/>
        <v>DEJAR</v>
      </c>
      <c r="AB174" s="50" t="str">
        <f t="shared" si="19"/>
        <v>DEJAR</v>
      </c>
      <c r="AC174" s="52">
        <f t="shared" si="20"/>
        <v>1.4313881527918496E-2</v>
      </c>
      <c r="AD174" s="52">
        <f t="shared" si="21"/>
        <v>0.28627763055836991</v>
      </c>
      <c r="AE174" s="52">
        <f>+IF(X174=INICIO!$B$31,0.15991*D174^2.32764,AND(X174=INICIO!$B$32)*0.13657*D174^2.38351)</f>
        <v>67.533172179763213</v>
      </c>
      <c r="AF174" s="52">
        <f t="shared" si="22"/>
        <v>1350.6634435952642</v>
      </c>
      <c r="AG174" s="52">
        <f>+AE174/1000*INICIO!$D$50</f>
        <v>3.1740590924488707E-2</v>
      </c>
      <c r="AH174" s="52">
        <f>+AF174/1000*INICIO!$D$50</f>
        <v>0.63481181848977419</v>
      </c>
      <c r="AI174" s="55">
        <f>+IF(X174=INICIO!$B$31,IF(D174&lt;=82,0.15991*D174^2.32764, 0.15991*82^2.32764),AND(X174=INICIO!$B$32)*IF(D174&lt;=79.9,0.13657*D174^2.38351,0.13657*79.9^2.38351))</f>
        <v>67.533172179763213</v>
      </c>
      <c r="AJ174" s="56">
        <f t="shared" si="23"/>
        <v>1350.6634435952642</v>
      </c>
      <c r="AK174" s="56">
        <f>+AI174/1000*INICIO!$D$50</f>
        <v>3.1740590924488707E-2</v>
      </c>
      <c r="AL174" s="56">
        <f>+AJ174/1000*INICIO!$D$50</f>
        <v>0.63481181848977419</v>
      </c>
      <c r="AM174" s="57" t="str">
        <f>+INICIO!$C$30</f>
        <v>UVG_B_Kg</v>
      </c>
    </row>
    <row r="175" spans="1:39" ht="15" x14ac:dyDescent="0.25">
      <c r="A175" s="24">
        <v>13</v>
      </c>
      <c r="B175" s="25">
        <f>'1BASE'!A175</f>
        <v>4</v>
      </c>
      <c r="C175" s="27" t="str">
        <f>'1BASE'!B175</f>
        <v>Cacao de montaña</v>
      </c>
      <c r="D175" s="26">
        <f>'1BASE'!C175</f>
        <v>17.3</v>
      </c>
      <c r="E175" s="27">
        <f>'1BASE'!D175</f>
        <v>30</v>
      </c>
      <c r="F175" s="27">
        <f>'1BASE'!E175</f>
        <v>50</v>
      </c>
      <c r="G175" s="27">
        <f>(TAN(RADIANS(E175))*20)+(TAN(RADIANS(F175))*20)</f>
        <v>35.382077235676718</v>
      </c>
      <c r="H175" s="26">
        <f>'1BASE'!F175</f>
        <v>4.5</v>
      </c>
      <c r="I175" s="24">
        <f>'1BASE'!G175</f>
        <v>0</v>
      </c>
      <c r="J175" s="24">
        <f>'1BASE'!H175</f>
        <v>0</v>
      </c>
      <c r="K175" s="24"/>
      <c r="L175" s="24"/>
      <c r="M175" s="24"/>
      <c r="N175" s="24"/>
      <c r="O175" s="24"/>
      <c r="P175" s="24"/>
      <c r="Q175" s="24"/>
      <c r="R175" s="24"/>
      <c r="S175" s="5"/>
      <c r="T175" s="5"/>
      <c r="U175" s="1" t="s">
        <v>96</v>
      </c>
      <c r="V175" s="11">
        <v>0.05</v>
      </c>
      <c r="W175" s="1">
        <f>+INICIO!$C$34</f>
        <v>2014</v>
      </c>
      <c r="X175" s="1" t="str">
        <f>+INICIO!$B$32</f>
        <v>LATIFOLIADO</v>
      </c>
      <c r="Y175" s="50" t="str">
        <f t="shared" si="16"/>
        <v>DEJAR</v>
      </c>
      <c r="Z175" s="50" t="str">
        <f t="shared" si="17"/>
        <v>DEJAR</v>
      </c>
      <c r="AA175" s="50" t="str">
        <f t="shared" si="18"/>
        <v>DEJAR</v>
      </c>
      <c r="AB175" s="50" t="str">
        <f t="shared" si="19"/>
        <v>DEJAR</v>
      </c>
      <c r="AC175" s="52">
        <f t="shared" si="20"/>
        <v>2.3506181632322234E-2</v>
      </c>
      <c r="AD175" s="52">
        <f t="shared" si="21"/>
        <v>0.47012363264644463</v>
      </c>
      <c r="AE175" s="52">
        <f>+IF(X175=INICIO!$B$31,0.15991*D175^2.32764,AND(X175=INICIO!$B$32)*0.13657*D175^2.38351)</f>
        <v>121.96931273174864</v>
      </c>
      <c r="AF175" s="52">
        <f t="shared" si="22"/>
        <v>2439.3862546349728</v>
      </c>
      <c r="AG175" s="52">
        <f>+AE175/1000*INICIO!$D$50</f>
        <v>5.7325576983921857E-2</v>
      </c>
      <c r="AH175" s="52">
        <f>+AF175/1000*INICIO!$D$50</f>
        <v>1.1465115396784371</v>
      </c>
      <c r="AI175" s="55">
        <f>+IF(X175=INICIO!$B$31,IF(D175&lt;=82,0.15991*D175^2.32764, 0.15991*82^2.32764),AND(X175=INICIO!$B$32)*IF(D175&lt;=79.9,0.13657*D175^2.38351,0.13657*79.9^2.38351))</f>
        <v>121.96931273174864</v>
      </c>
      <c r="AJ175" s="56">
        <f t="shared" si="23"/>
        <v>2439.3862546349728</v>
      </c>
      <c r="AK175" s="56">
        <f>+AI175/1000*INICIO!$D$50</f>
        <v>5.7325576983921857E-2</v>
      </c>
      <c r="AL175" s="56">
        <f>+AJ175/1000*INICIO!$D$50</f>
        <v>1.1465115396784371</v>
      </c>
      <c r="AM175" s="57" t="str">
        <f>+INICIO!$C$30</f>
        <v>UVG_B_Kg</v>
      </c>
    </row>
    <row r="176" spans="1:39" ht="15" x14ac:dyDescent="0.25">
      <c r="A176" s="24">
        <v>13</v>
      </c>
      <c r="B176" s="25">
        <f>'1BASE'!A176</f>
        <v>5</v>
      </c>
      <c r="C176" s="24" t="str">
        <f>'1BASE'!B176</f>
        <v>Garay</v>
      </c>
      <c r="D176" s="26">
        <f>'1BASE'!C176</f>
        <v>68</v>
      </c>
      <c r="E176" s="27">
        <f>'1BASE'!D176</f>
        <v>30</v>
      </c>
      <c r="F176" s="27">
        <f>'1BASE'!E176</f>
        <v>140</v>
      </c>
      <c r="G176" s="32">
        <f>(TAN(RADIANS(E176))*20)+(TAN(RADIANS(F176))*20)</f>
        <v>-5.2349872397530941</v>
      </c>
      <c r="H176" s="26">
        <f>'1BASE'!F176</f>
        <v>6</v>
      </c>
      <c r="I176" s="24">
        <f>'1BASE'!G176</f>
        <v>0</v>
      </c>
      <c r="J176" s="24">
        <f>'1BASE'!H176</f>
        <v>0</v>
      </c>
      <c r="K176" s="24"/>
      <c r="L176" s="24"/>
      <c r="M176" s="24"/>
      <c r="N176" s="24"/>
      <c r="O176" s="24"/>
      <c r="P176" s="24"/>
      <c r="Q176" s="24"/>
      <c r="R176" s="24"/>
      <c r="S176" s="5"/>
      <c r="T176" s="5"/>
      <c r="U176" s="1" t="s">
        <v>96</v>
      </c>
      <c r="V176" s="11">
        <v>0.05</v>
      </c>
      <c r="W176" s="1">
        <f>+INICIO!$C$34</f>
        <v>2014</v>
      </c>
      <c r="X176" s="1" t="str">
        <f>+INICIO!$B$32</f>
        <v>LATIFOLIADO</v>
      </c>
      <c r="Y176" s="50" t="str">
        <f t="shared" si="16"/>
        <v>DEJAR</v>
      </c>
      <c r="Z176" s="50" t="str">
        <f t="shared" si="17"/>
        <v>DEJAR</v>
      </c>
      <c r="AA176" s="50" t="str">
        <f t="shared" si="18"/>
        <v>DEJAR</v>
      </c>
      <c r="AB176" s="50" t="str">
        <f t="shared" si="19"/>
        <v>DEJAR</v>
      </c>
      <c r="AC176" s="52">
        <f t="shared" si="20"/>
        <v>0.36316811075498018</v>
      </c>
      <c r="AD176" s="52">
        <f t="shared" si="21"/>
        <v>7.2633622150996029</v>
      </c>
      <c r="AE176" s="52">
        <f>+IF(X176=INICIO!$B$31,0.15991*D176^2.32764,AND(X176=INICIO!$B$32)*0.13657*D176^2.38351)</f>
        <v>3185.3607760375917</v>
      </c>
      <c r="AF176" s="52">
        <f t="shared" si="22"/>
        <v>63707.21552075183</v>
      </c>
      <c r="AG176" s="52">
        <f>+AE176/1000*INICIO!$D$50</f>
        <v>1.4971195647376681</v>
      </c>
      <c r="AH176" s="52">
        <f>+AF176/1000*INICIO!$D$50</f>
        <v>29.94239129475336</v>
      </c>
      <c r="AI176" s="55">
        <f>+IF(X176=INICIO!$B$31,IF(D176&lt;=82,0.15991*D176^2.32764, 0.15991*82^2.32764),AND(X176=INICIO!$B$32)*IF(D176&lt;=79.9,0.13657*D176^2.38351,0.13657*79.9^2.38351))</f>
        <v>3185.3607760375917</v>
      </c>
      <c r="AJ176" s="56">
        <f t="shared" si="23"/>
        <v>63707.21552075183</v>
      </c>
      <c r="AK176" s="56">
        <f>+AI176/1000*INICIO!$D$50</f>
        <v>1.4971195647376681</v>
      </c>
      <c r="AL176" s="56">
        <f>+AJ176/1000*INICIO!$D$50</f>
        <v>29.94239129475336</v>
      </c>
      <c r="AM176" s="57" t="str">
        <f>+INICIO!$C$30</f>
        <v>UVG_B_Kg</v>
      </c>
    </row>
    <row r="177" spans="1:39" ht="15" x14ac:dyDescent="0.25">
      <c r="A177" s="24">
        <v>13</v>
      </c>
      <c r="B177" s="25">
        <f>'1BASE'!A177</f>
        <v>6</v>
      </c>
      <c r="C177" s="24">
        <f>'1BASE'!B177</f>
        <v>0</v>
      </c>
      <c r="D177" s="26">
        <f>'1BASE'!C177</f>
        <v>83.8</v>
      </c>
      <c r="E177" s="27">
        <f>'1BASE'!D177</f>
        <v>0</v>
      </c>
      <c r="F177" s="27">
        <f>'1BASE'!E177</f>
        <v>0</v>
      </c>
      <c r="G177" s="27"/>
      <c r="H177" s="26">
        <f>'1BASE'!F177</f>
        <v>7</v>
      </c>
      <c r="I177" s="24">
        <f>'1BASE'!G177</f>
        <v>0</v>
      </c>
      <c r="J177" s="24">
        <f>'1BASE'!H177</f>
        <v>0</v>
      </c>
      <c r="K177" s="24"/>
      <c r="L177" s="24"/>
      <c r="M177" s="24"/>
      <c r="N177" s="24"/>
      <c r="O177" s="24"/>
      <c r="P177" s="24"/>
      <c r="Q177" s="24"/>
      <c r="R177" s="24"/>
      <c r="S177" s="5"/>
      <c r="T177" s="5"/>
      <c r="U177" s="1" t="s">
        <v>96</v>
      </c>
      <c r="V177" s="11">
        <v>0.05</v>
      </c>
      <c r="W177" s="1">
        <f>+INICIO!$C$34</f>
        <v>2014</v>
      </c>
      <c r="X177" s="1" t="str">
        <f>+INICIO!$B$32</f>
        <v>LATIFOLIADO</v>
      </c>
      <c r="Y177" s="50" t="str">
        <f t="shared" si="16"/>
        <v>DEJAR</v>
      </c>
      <c r="Z177" s="50" t="str">
        <f t="shared" si="17"/>
        <v>DEJAR</v>
      </c>
      <c r="AA177" s="50" t="str">
        <f t="shared" si="18"/>
        <v>DEJAR</v>
      </c>
      <c r="AB177" s="50" t="str">
        <f t="shared" si="19"/>
        <v>DEJAR</v>
      </c>
      <c r="AC177" s="52">
        <f t="shared" si="20"/>
        <v>0.55154114785687769</v>
      </c>
      <c r="AD177" s="52">
        <f t="shared" si="21"/>
        <v>11.030822957137554</v>
      </c>
      <c r="AE177" s="52">
        <f>+IF(X177=INICIO!$B$31,0.15991*D177^2.32764,AND(X177=INICIO!$B$32)*0.13657*D177^2.38351)</f>
        <v>5241.1508569339976</v>
      </c>
      <c r="AF177" s="52">
        <f t="shared" si="22"/>
        <v>104823.01713867995</v>
      </c>
      <c r="AG177" s="52">
        <f>+AE177/1000*INICIO!$D$50</f>
        <v>2.4633409027589788</v>
      </c>
      <c r="AH177" s="52">
        <f>+AF177/1000*INICIO!$D$50</f>
        <v>49.26681805517957</v>
      </c>
      <c r="AI177" s="55">
        <f>+IF(X177=INICIO!$B$31,IF(D177&lt;=82,0.15991*D177^2.32764, 0.15991*82^2.32764),AND(X177=INICIO!$B$32)*IF(D177&lt;=79.9,0.13657*D177^2.38351,0.13657*79.9^2.38351))</f>
        <v>4678.370186681871</v>
      </c>
      <c r="AJ177" s="56">
        <f t="shared" si="23"/>
        <v>93567.403733637417</v>
      </c>
      <c r="AK177" s="56">
        <f>+AI177/1000*INICIO!$D$50</f>
        <v>2.1988339877404792</v>
      </c>
      <c r="AL177" s="56">
        <f>+AJ177/1000*INICIO!$D$50</f>
        <v>43.976679754809588</v>
      </c>
      <c r="AM177" s="57" t="str">
        <f>+INICIO!$C$30</f>
        <v>UVG_B_Kg</v>
      </c>
    </row>
    <row r="178" spans="1:39" ht="15" x14ac:dyDescent="0.25">
      <c r="A178" s="24">
        <v>13</v>
      </c>
      <c r="B178" s="25">
        <f>'1BASE'!A178</f>
        <v>7</v>
      </c>
      <c r="C178" s="24" t="str">
        <f>'1BASE'!B178</f>
        <v>Tamarindo</v>
      </c>
      <c r="D178" s="26">
        <f>'1BASE'!C178</f>
        <v>54</v>
      </c>
      <c r="E178" s="27">
        <f>'1BASE'!D178</f>
        <v>30</v>
      </c>
      <c r="F178" s="27">
        <f>'1BASE'!E178</f>
        <v>125</v>
      </c>
      <c r="G178" s="32">
        <f>(TAN(RADIANS(E178))*20)+(TAN(RADIANS(F178))*20)</f>
        <v>-17.015954751049769</v>
      </c>
      <c r="H178" s="26">
        <f>'1BASE'!F178</f>
        <v>10</v>
      </c>
      <c r="I178" s="24">
        <f>'1BASE'!G178</f>
        <v>0</v>
      </c>
      <c r="J178" s="24">
        <f>'1BASE'!H178</f>
        <v>0</v>
      </c>
      <c r="K178" s="24"/>
      <c r="L178" s="24"/>
      <c r="M178" s="24"/>
      <c r="N178" s="24"/>
      <c r="O178" s="24"/>
      <c r="P178" s="24"/>
      <c r="Q178" s="24"/>
      <c r="R178" s="24"/>
      <c r="S178" s="5"/>
      <c r="T178" s="5"/>
      <c r="U178" s="1" t="s">
        <v>96</v>
      </c>
      <c r="V178" s="11">
        <v>0.05</v>
      </c>
      <c r="W178" s="1">
        <f>+INICIO!$C$34</f>
        <v>2014</v>
      </c>
      <c r="X178" s="1" t="str">
        <f>+INICIO!$B$32</f>
        <v>LATIFOLIADO</v>
      </c>
      <c r="Y178" s="50" t="str">
        <f t="shared" si="16"/>
        <v>DEJAR</v>
      </c>
      <c r="Z178" s="50" t="str">
        <f t="shared" si="17"/>
        <v>DEJAR</v>
      </c>
      <c r="AA178" s="50" t="str">
        <f t="shared" si="18"/>
        <v>DEJAR</v>
      </c>
      <c r="AB178" s="50" t="str">
        <f t="shared" si="19"/>
        <v>DEJAR</v>
      </c>
      <c r="AC178" s="52">
        <f t="shared" si="20"/>
        <v>0.22902210444669593</v>
      </c>
      <c r="AD178" s="52">
        <f t="shared" si="21"/>
        <v>4.5804420889339186</v>
      </c>
      <c r="AE178" s="52">
        <f>+IF(X178=INICIO!$B$31,0.15991*D178^2.32764,AND(X178=INICIO!$B$32)*0.13657*D178^2.38351)</f>
        <v>1838.7943468066326</v>
      </c>
      <c r="AF178" s="52">
        <f t="shared" si="22"/>
        <v>36775.886936132651</v>
      </c>
      <c r="AG178" s="52">
        <f>+AE178/1000*INICIO!$D$50</f>
        <v>0.86423334299911725</v>
      </c>
      <c r="AH178" s="52">
        <f>+AF178/1000*INICIO!$D$50</f>
        <v>17.284666859982345</v>
      </c>
      <c r="AI178" s="55">
        <f>+IF(X178=INICIO!$B$31,IF(D178&lt;=82,0.15991*D178^2.32764, 0.15991*82^2.32764),AND(X178=INICIO!$B$32)*IF(D178&lt;=79.9,0.13657*D178^2.38351,0.13657*79.9^2.38351))</f>
        <v>1838.7943468066326</v>
      </c>
      <c r="AJ178" s="56">
        <f t="shared" si="23"/>
        <v>36775.886936132651</v>
      </c>
      <c r="AK178" s="56">
        <f>+AI178/1000*INICIO!$D$50</f>
        <v>0.86423334299911725</v>
      </c>
      <c r="AL178" s="56">
        <f>+AJ178/1000*INICIO!$D$50</f>
        <v>17.284666859982345</v>
      </c>
      <c r="AM178" s="57" t="str">
        <f>+INICIO!$C$30</f>
        <v>UVG_B_Kg</v>
      </c>
    </row>
    <row r="179" spans="1:39" ht="15" x14ac:dyDescent="0.25">
      <c r="A179" s="24">
        <v>13</v>
      </c>
      <c r="B179" s="25">
        <f>'1BASE'!A179</f>
        <v>8</v>
      </c>
      <c r="C179" s="24">
        <f>'1BASE'!B179</f>
        <v>0</v>
      </c>
      <c r="D179" s="26">
        <f>'1BASE'!C179</f>
        <v>49.6</v>
      </c>
      <c r="E179" s="27">
        <f>'1BASE'!D179</f>
        <v>0</v>
      </c>
      <c r="F179" s="27">
        <f>'1BASE'!E179</f>
        <v>0</v>
      </c>
      <c r="G179" s="27"/>
      <c r="H179" s="26">
        <f>'1BASE'!F179</f>
        <v>5</v>
      </c>
      <c r="I179" s="24">
        <f>'1BASE'!G179</f>
        <v>0</v>
      </c>
      <c r="J179" s="24">
        <f>'1BASE'!H179</f>
        <v>0</v>
      </c>
      <c r="K179" s="24"/>
      <c r="L179" s="24"/>
      <c r="M179" s="24"/>
      <c r="N179" s="24"/>
      <c r="O179" s="24"/>
      <c r="P179" s="24"/>
      <c r="Q179" s="24"/>
      <c r="R179" s="24"/>
      <c r="S179" s="5"/>
      <c r="T179" s="5"/>
      <c r="U179" s="1" t="s">
        <v>96</v>
      </c>
      <c r="V179" s="11">
        <v>0.05</v>
      </c>
      <c r="W179" s="1">
        <f>+INICIO!$C$34</f>
        <v>2014</v>
      </c>
      <c r="X179" s="1" t="str">
        <f>+INICIO!$B$32</f>
        <v>LATIFOLIADO</v>
      </c>
      <c r="Y179" s="50" t="str">
        <f t="shared" si="16"/>
        <v>DEJAR</v>
      </c>
      <c r="Z179" s="50" t="str">
        <f t="shared" si="17"/>
        <v>DEJAR</v>
      </c>
      <c r="AA179" s="50" t="str">
        <f t="shared" si="18"/>
        <v>DEJAR</v>
      </c>
      <c r="AB179" s="50" t="str">
        <f t="shared" si="19"/>
        <v>DEJAR</v>
      </c>
      <c r="AC179" s="52">
        <f t="shared" si="20"/>
        <v>0.19322051456638661</v>
      </c>
      <c r="AD179" s="52">
        <f t="shared" si="21"/>
        <v>3.8644102913277321</v>
      </c>
      <c r="AE179" s="52">
        <f>+IF(X179=INICIO!$B$31,0.15991*D179^2.32764,AND(X179=INICIO!$B$32)*0.13657*D179^2.38351)</f>
        <v>1501.5950920911744</v>
      </c>
      <c r="AF179" s="52">
        <f t="shared" si="22"/>
        <v>30031.901841823485</v>
      </c>
      <c r="AG179" s="52">
        <f>+AE179/1000*INICIO!$D$50</f>
        <v>0.70574969328285186</v>
      </c>
      <c r="AH179" s="52">
        <f>+AF179/1000*INICIO!$D$50</f>
        <v>14.114993865657036</v>
      </c>
      <c r="AI179" s="55">
        <f>+IF(X179=INICIO!$B$31,IF(D179&lt;=82,0.15991*D179^2.32764, 0.15991*82^2.32764),AND(X179=INICIO!$B$32)*IF(D179&lt;=79.9,0.13657*D179^2.38351,0.13657*79.9^2.38351))</f>
        <v>1501.5950920911744</v>
      </c>
      <c r="AJ179" s="56">
        <f t="shared" si="23"/>
        <v>30031.901841823485</v>
      </c>
      <c r="AK179" s="56">
        <f>+AI179/1000*INICIO!$D$50</f>
        <v>0.70574969328285186</v>
      </c>
      <c r="AL179" s="56">
        <f>+AJ179/1000*INICIO!$D$50</f>
        <v>14.114993865657036</v>
      </c>
      <c r="AM179" s="57" t="str">
        <f>+INICIO!$C$30</f>
        <v>UVG_B_Kg</v>
      </c>
    </row>
    <row r="180" spans="1:39" ht="15" x14ac:dyDescent="0.25">
      <c r="A180" s="24">
        <v>13</v>
      </c>
      <c r="B180" s="25">
        <f>'1BASE'!A180</f>
        <v>9</v>
      </c>
      <c r="C180" s="24">
        <f>'1BASE'!B180</f>
        <v>0</v>
      </c>
      <c r="D180" s="26">
        <f>'1BASE'!C180</f>
        <v>14.6</v>
      </c>
      <c r="E180" s="27">
        <f>'1BASE'!D180</f>
        <v>0</v>
      </c>
      <c r="F180" s="27">
        <f>'1BASE'!E180</f>
        <v>0</v>
      </c>
      <c r="G180" s="27"/>
      <c r="H180" s="26">
        <f>'1BASE'!F180</f>
        <v>5.5</v>
      </c>
      <c r="I180" s="24">
        <f>'1BASE'!G180</f>
        <v>0</v>
      </c>
      <c r="J180" s="24">
        <f>'1BASE'!H180</f>
        <v>0</v>
      </c>
      <c r="K180" s="24"/>
      <c r="L180" s="24"/>
      <c r="M180" s="24"/>
      <c r="N180" s="24"/>
      <c r="O180" s="24"/>
      <c r="P180" s="24"/>
      <c r="Q180" s="24"/>
      <c r="R180" s="24"/>
      <c r="S180" s="5"/>
      <c r="T180" s="5"/>
      <c r="U180" s="1" t="s">
        <v>96</v>
      </c>
      <c r="V180" s="11">
        <v>0.05</v>
      </c>
      <c r="W180" s="1">
        <f>+INICIO!$C$34</f>
        <v>2014</v>
      </c>
      <c r="X180" s="1" t="str">
        <f>+INICIO!$B$32</f>
        <v>LATIFOLIADO</v>
      </c>
      <c r="Y180" s="50" t="str">
        <f t="shared" si="16"/>
        <v>DEJAR</v>
      </c>
      <c r="Z180" s="50" t="str">
        <f t="shared" si="17"/>
        <v>DEJAR</v>
      </c>
      <c r="AA180" s="50" t="str">
        <f t="shared" si="18"/>
        <v>DEJAR</v>
      </c>
      <c r="AB180" s="50" t="str">
        <f t="shared" si="19"/>
        <v>DEJAR</v>
      </c>
      <c r="AC180" s="52">
        <f t="shared" si="20"/>
        <v>1.6741547250980007E-2</v>
      </c>
      <c r="AD180" s="52">
        <f t="shared" si="21"/>
        <v>0.33483094501960009</v>
      </c>
      <c r="AE180" s="52">
        <f>+IF(X180=INICIO!$B$31,0.15991*D180^2.32764,AND(X180=INICIO!$B$32)*0.13657*D180^2.38351)</f>
        <v>81.395797882754522</v>
      </c>
      <c r="AF180" s="52">
        <f t="shared" si="22"/>
        <v>1627.9159576550903</v>
      </c>
      <c r="AG180" s="52">
        <f>+AE180/1000*INICIO!$D$50</f>
        <v>3.8256025004894625E-2</v>
      </c>
      <c r="AH180" s="52">
        <f>+AF180/1000*INICIO!$D$50</f>
        <v>0.76512050009789245</v>
      </c>
      <c r="AI180" s="55">
        <f>+IF(X180=INICIO!$B$31,IF(D180&lt;=82,0.15991*D180^2.32764, 0.15991*82^2.32764),AND(X180=INICIO!$B$32)*IF(D180&lt;=79.9,0.13657*D180^2.38351,0.13657*79.9^2.38351))</f>
        <v>81.395797882754522</v>
      </c>
      <c r="AJ180" s="56">
        <f t="shared" si="23"/>
        <v>1627.9159576550903</v>
      </c>
      <c r="AK180" s="56">
        <f>+AI180/1000*INICIO!$D$50</f>
        <v>3.8256025004894625E-2</v>
      </c>
      <c r="AL180" s="56">
        <f>+AJ180/1000*INICIO!$D$50</f>
        <v>0.76512050009789245</v>
      </c>
      <c r="AM180" s="57" t="str">
        <f>+INICIO!$C$30</f>
        <v>UVG_B_Kg</v>
      </c>
    </row>
    <row r="181" spans="1:39" ht="15" x14ac:dyDescent="0.25">
      <c r="A181" s="24">
        <v>13</v>
      </c>
      <c r="B181" s="25">
        <f>'1BASE'!A181</f>
        <v>10</v>
      </c>
      <c r="C181" s="24">
        <f>'1BASE'!B181</f>
        <v>0</v>
      </c>
      <c r="D181" s="26">
        <f>'1BASE'!C181</f>
        <v>15.9</v>
      </c>
      <c r="E181" s="27">
        <f>'1BASE'!D181</f>
        <v>0</v>
      </c>
      <c r="F181" s="27">
        <f>'1BASE'!E181</f>
        <v>0</v>
      </c>
      <c r="G181" s="27"/>
      <c r="H181" s="26">
        <f>'1BASE'!F181</f>
        <v>5</v>
      </c>
      <c r="I181" s="24">
        <f>'1BASE'!G181</f>
        <v>0</v>
      </c>
      <c r="J181" s="24">
        <f>'1BASE'!H181</f>
        <v>0</v>
      </c>
      <c r="K181" s="24"/>
      <c r="L181" s="24"/>
      <c r="M181" s="24"/>
      <c r="N181" s="24"/>
      <c r="O181" s="24"/>
      <c r="P181" s="24"/>
      <c r="Q181" s="24"/>
      <c r="R181" s="24"/>
      <c r="S181" s="5"/>
      <c r="T181" s="5"/>
      <c r="U181" s="1" t="s">
        <v>96</v>
      </c>
      <c r="V181" s="11">
        <v>0.05</v>
      </c>
      <c r="W181" s="1">
        <f>+INICIO!$C$34</f>
        <v>2014</v>
      </c>
      <c r="X181" s="1" t="str">
        <f>+INICIO!$B$32</f>
        <v>LATIFOLIADO</v>
      </c>
      <c r="Y181" s="50" t="str">
        <f t="shared" si="16"/>
        <v>DEJAR</v>
      </c>
      <c r="Z181" s="50" t="str">
        <f t="shared" si="17"/>
        <v>DEJAR</v>
      </c>
      <c r="AA181" s="50" t="str">
        <f t="shared" si="18"/>
        <v>DEJAR</v>
      </c>
      <c r="AB181" s="50" t="str">
        <f t="shared" si="19"/>
        <v>DEJAR</v>
      </c>
      <c r="AC181" s="52">
        <f t="shared" si="20"/>
        <v>1.9855650968850891E-2</v>
      </c>
      <c r="AD181" s="52">
        <f t="shared" si="21"/>
        <v>0.39711301937701782</v>
      </c>
      <c r="AE181" s="52">
        <f>+IF(X181=INICIO!$B$31,0.15991*D181^2.32764,AND(X181=INICIO!$B$32)*0.13657*D181^2.38351)</f>
        <v>99.746431903568038</v>
      </c>
      <c r="AF181" s="52">
        <f t="shared" si="22"/>
        <v>1994.9286380713606</v>
      </c>
      <c r="AG181" s="52">
        <f>+AE181/1000*INICIO!$D$50</f>
        <v>4.6880822994676975E-2</v>
      </c>
      <c r="AH181" s="52">
        <f>+AF181/1000*INICIO!$D$50</f>
        <v>0.93761645989353948</v>
      </c>
      <c r="AI181" s="55">
        <f>+IF(X181=INICIO!$B$31,IF(D181&lt;=82,0.15991*D181^2.32764, 0.15991*82^2.32764),AND(X181=INICIO!$B$32)*IF(D181&lt;=79.9,0.13657*D181^2.38351,0.13657*79.9^2.38351))</f>
        <v>99.746431903568038</v>
      </c>
      <c r="AJ181" s="56">
        <f t="shared" si="23"/>
        <v>1994.9286380713606</v>
      </c>
      <c r="AK181" s="56">
        <f>+AI181/1000*INICIO!$D$50</f>
        <v>4.6880822994676975E-2</v>
      </c>
      <c r="AL181" s="56">
        <f>+AJ181/1000*INICIO!$D$50</f>
        <v>0.93761645989353948</v>
      </c>
      <c r="AM181" s="57" t="str">
        <f>+INICIO!$C$30</f>
        <v>UVG_B_Kg</v>
      </c>
    </row>
    <row r="182" spans="1:39" ht="15" x14ac:dyDescent="0.25">
      <c r="A182" s="24">
        <v>13</v>
      </c>
      <c r="B182" s="25">
        <f>'1BASE'!A182</f>
        <v>11</v>
      </c>
      <c r="C182" s="24">
        <f>'1BASE'!B182</f>
        <v>0</v>
      </c>
      <c r="D182" s="26">
        <f>'1BASE'!C182</f>
        <v>11.7</v>
      </c>
      <c r="E182" s="27">
        <f>'1BASE'!D182</f>
        <v>0</v>
      </c>
      <c r="F182" s="27">
        <f>'1BASE'!E182</f>
        <v>0</v>
      </c>
      <c r="G182" s="27"/>
      <c r="H182" s="26">
        <f>'1BASE'!F182</f>
        <v>5</v>
      </c>
      <c r="I182" s="24">
        <f>'1BASE'!G182</f>
        <v>0</v>
      </c>
      <c r="J182" s="24">
        <f>'1BASE'!H182</f>
        <v>0</v>
      </c>
      <c r="K182" s="24"/>
      <c r="L182" s="24"/>
      <c r="M182" s="24"/>
      <c r="N182" s="24"/>
      <c r="O182" s="24"/>
      <c r="P182" s="24"/>
      <c r="Q182" s="24"/>
      <c r="R182" s="24"/>
      <c r="S182" s="5"/>
      <c r="T182" s="5"/>
      <c r="U182" s="1" t="s">
        <v>96</v>
      </c>
      <c r="V182" s="11">
        <v>0.05</v>
      </c>
      <c r="W182" s="1">
        <f>+INICIO!$C$34</f>
        <v>2014</v>
      </c>
      <c r="X182" s="1" t="str">
        <f>+INICIO!$B$32</f>
        <v>LATIFOLIADO</v>
      </c>
      <c r="Y182" s="50" t="str">
        <f t="shared" si="16"/>
        <v>DEJAR</v>
      </c>
      <c r="Z182" s="50" t="str">
        <f t="shared" si="17"/>
        <v>DEJAR</v>
      </c>
      <c r="AA182" s="50" t="str">
        <f t="shared" si="18"/>
        <v>DEJAR</v>
      </c>
      <c r="AB182" s="50" t="str">
        <f t="shared" si="19"/>
        <v>DEJAR</v>
      </c>
      <c r="AC182" s="52">
        <f t="shared" si="20"/>
        <v>1.0751315458747667E-2</v>
      </c>
      <c r="AD182" s="52">
        <f t="shared" si="21"/>
        <v>0.21502630917495333</v>
      </c>
      <c r="AE182" s="52">
        <f>+IF(X182=INICIO!$B$31,0.15991*D182^2.32764,AND(X182=INICIO!$B$32)*0.13657*D182^2.38351)</f>
        <v>48.016112181724274</v>
      </c>
      <c r="AF182" s="52">
        <f t="shared" si="22"/>
        <v>960.3222436344854</v>
      </c>
      <c r="AG182" s="52">
        <f>+AE182/1000*INICIO!$D$50</f>
        <v>2.2567572725410406E-2</v>
      </c>
      <c r="AH182" s="52">
        <f>+AF182/1000*INICIO!$D$50</f>
        <v>0.45135145450820807</v>
      </c>
      <c r="AI182" s="55">
        <f>+IF(X182=INICIO!$B$31,IF(D182&lt;=82,0.15991*D182^2.32764, 0.15991*82^2.32764),AND(X182=INICIO!$B$32)*IF(D182&lt;=79.9,0.13657*D182^2.38351,0.13657*79.9^2.38351))</f>
        <v>48.016112181724274</v>
      </c>
      <c r="AJ182" s="56">
        <f t="shared" si="23"/>
        <v>960.3222436344854</v>
      </c>
      <c r="AK182" s="56">
        <f>+AI182/1000*INICIO!$D$50</f>
        <v>2.2567572725410406E-2</v>
      </c>
      <c r="AL182" s="56">
        <f>+AJ182/1000*INICIO!$D$50</f>
        <v>0.45135145450820807</v>
      </c>
      <c r="AM182" s="57" t="str">
        <f>+INICIO!$C$30</f>
        <v>UVG_B_Kg</v>
      </c>
    </row>
    <row r="183" spans="1:39" ht="15" x14ac:dyDescent="0.25">
      <c r="A183" s="24">
        <v>13</v>
      </c>
      <c r="B183" s="25">
        <f>'1BASE'!A183</f>
        <v>12</v>
      </c>
      <c r="C183" s="24">
        <f>'1BASE'!B183</f>
        <v>0</v>
      </c>
      <c r="D183" s="26">
        <f>'1BASE'!C183</f>
        <v>115.9</v>
      </c>
      <c r="E183" s="27">
        <f>'1BASE'!D183</f>
        <v>0</v>
      </c>
      <c r="F183" s="27">
        <f>'1BASE'!E183</f>
        <v>0</v>
      </c>
      <c r="G183" s="27"/>
      <c r="H183" s="26">
        <f>'1BASE'!F183</f>
        <v>12</v>
      </c>
      <c r="I183" s="24">
        <f>'1BASE'!G183</f>
        <v>0</v>
      </c>
      <c r="J183" s="24">
        <f>'1BASE'!H183</f>
        <v>0</v>
      </c>
      <c r="K183" s="24"/>
      <c r="L183" s="24"/>
      <c r="M183" s="24"/>
      <c r="N183" s="24"/>
      <c r="O183" s="24"/>
      <c r="P183" s="24"/>
      <c r="Q183" s="24"/>
      <c r="R183" s="24"/>
      <c r="S183" s="5"/>
      <c r="T183" s="5"/>
      <c r="U183" s="1" t="s">
        <v>96</v>
      </c>
      <c r="V183" s="11">
        <v>0.05</v>
      </c>
      <c r="W183" s="1">
        <f>+INICIO!$C$34</f>
        <v>2014</v>
      </c>
      <c r="X183" s="1" t="str">
        <f>+INICIO!$B$32</f>
        <v>LATIFOLIADO</v>
      </c>
      <c r="Y183" s="50" t="str">
        <f t="shared" si="16"/>
        <v>DEJAR</v>
      </c>
      <c r="Z183" s="50" t="str">
        <f t="shared" si="17"/>
        <v>DEJAR</v>
      </c>
      <c r="AA183" s="50" t="str">
        <f t="shared" si="18"/>
        <v>DEJAR</v>
      </c>
      <c r="AB183" s="50" t="str">
        <f t="shared" si="19"/>
        <v>DEJAR</v>
      </c>
      <c r="AC183" s="52">
        <f t="shared" si="20"/>
        <v>1.0550104303266878</v>
      </c>
      <c r="AD183" s="52">
        <f t="shared" si="21"/>
        <v>21.100208606533755</v>
      </c>
      <c r="AE183" s="52">
        <f>+IF(X183=INICIO!$B$31,0.15991*D183^2.32764,AND(X183=INICIO!$B$32)*0.13657*D183^2.38351)</f>
        <v>11353.213889925382</v>
      </c>
      <c r="AF183" s="52">
        <f t="shared" si="22"/>
        <v>227064.27779850762</v>
      </c>
      <c r="AG183" s="52">
        <f>+AE183/1000*INICIO!$D$50</f>
        <v>5.3360105282649286</v>
      </c>
      <c r="AH183" s="52">
        <f>+AF183/1000*INICIO!$D$50</f>
        <v>106.72021056529857</v>
      </c>
      <c r="AI183" s="55">
        <f>+IF(X183=INICIO!$B$31,IF(D183&lt;=82,0.15991*D183^2.32764, 0.15991*82^2.32764),AND(X183=INICIO!$B$32)*IF(D183&lt;=79.9,0.13657*D183^2.38351,0.13657*79.9^2.38351))</f>
        <v>4678.370186681871</v>
      </c>
      <c r="AJ183" s="56">
        <f t="shared" si="23"/>
        <v>93567.403733637417</v>
      </c>
      <c r="AK183" s="56">
        <f>+AI183/1000*INICIO!$D$50</f>
        <v>2.1988339877404792</v>
      </c>
      <c r="AL183" s="56">
        <f>+AJ183/1000*INICIO!$D$50</f>
        <v>43.976679754809588</v>
      </c>
      <c r="AM183" s="57" t="str">
        <f>+INICIO!$C$30</f>
        <v>UVG_B_Kg</v>
      </c>
    </row>
    <row r="184" spans="1:39" ht="15" x14ac:dyDescent="0.25">
      <c r="A184" s="24">
        <v>13</v>
      </c>
      <c r="B184" s="25">
        <f>'1BASE'!A184</f>
        <v>13</v>
      </c>
      <c r="C184" s="24" t="str">
        <f>'1BASE'!B184</f>
        <v>Plumajillo</v>
      </c>
      <c r="D184" s="26">
        <f>'1BASE'!C184</f>
        <v>72</v>
      </c>
      <c r="E184" s="27">
        <f>'1BASE'!D184</f>
        <v>0</v>
      </c>
      <c r="F184" s="27">
        <f>'1BASE'!E184</f>
        <v>0</v>
      </c>
      <c r="G184" s="27"/>
      <c r="H184" s="26">
        <f>'1BASE'!F184</f>
        <v>8</v>
      </c>
      <c r="I184" s="24">
        <f>'1BASE'!G184</f>
        <v>0</v>
      </c>
      <c r="J184" s="24">
        <f>'1BASE'!H184</f>
        <v>0</v>
      </c>
      <c r="K184" s="24"/>
      <c r="L184" s="24"/>
      <c r="M184" s="24"/>
      <c r="N184" s="24"/>
      <c r="O184" s="24"/>
      <c r="P184" s="24"/>
      <c r="Q184" s="24"/>
      <c r="R184" s="24"/>
      <c r="S184" s="5"/>
      <c r="T184" s="5"/>
      <c r="U184" s="1" t="s">
        <v>96</v>
      </c>
      <c r="V184" s="11">
        <v>0.05</v>
      </c>
      <c r="W184" s="1">
        <f>+INICIO!$C$34</f>
        <v>2014</v>
      </c>
      <c r="X184" s="1" t="str">
        <f>+INICIO!$B$32</f>
        <v>LATIFOLIADO</v>
      </c>
      <c r="Y184" s="50" t="str">
        <f t="shared" si="16"/>
        <v>DEJAR</v>
      </c>
      <c r="Z184" s="50" t="str">
        <f t="shared" si="17"/>
        <v>DEJAR</v>
      </c>
      <c r="AA184" s="50" t="str">
        <f t="shared" si="18"/>
        <v>DEJAR</v>
      </c>
      <c r="AB184" s="50" t="str">
        <f t="shared" si="19"/>
        <v>DEJAR</v>
      </c>
      <c r="AC184" s="52">
        <f t="shared" si="20"/>
        <v>0.40715040790523715</v>
      </c>
      <c r="AD184" s="52">
        <f t="shared" si="21"/>
        <v>8.1430081581047418</v>
      </c>
      <c r="AE184" s="52">
        <f>+IF(X184=INICIO!$B$31,0.15991*D184^2.32764,AND(X184=INICIO!$B$32)*0.13657*D184^2.38351)</f>
        <v>3650.2775546092148</v>
      </c>
      <c r="AF184" s="52">
        <f t="shared" si="22"/>
        <v>73005.551092184294</v>
      </c>
      <c r="AG184" s="52">
        <f>+AE184/1000*INICIO!$D$50</f>
        <v>1.7156304506663309</v>
      </c>
      <c r="AH184" s="52">
        <f>+AF184/1000*INICIO!$D$50</f>
        <v>34.312609013326615</v>
      </c>
      <c r="AI184" s="55">
        <f>+IF(X184=INICIO!$B$31,IF(D184&lt;=82,0.15991*D184^2.32764, 0.15991*82^2.32764),AND(X184=INICIO!$B$32)*IF(D184&lt;=79.9,0.13657*D184^2.38351,0.13657*79.9^2.38351))</f>
        <v>3650.2775546092148</v>
      </c>
      <c r="AJ184" s="56">
        <f t="shared" si="23"/>
        <v>73005.551092184294</v>
      </c>
      <c r="AK184" s="56">
        <f>+AI184/1000*INICIO!$D$50</f>
        <v>1.7156304506663309</v>
      </c>
      <c r="AL184" s="56">
        <f>+AJ184/1000*INICIO!$D$50</f>
        <v>34.312609013326615</v>
      </c>
      <c r="AM184" s="57" t="str">
        <f>+INICIO!$C$30</f>
        <v>UVG_B_Kg</v>
      </c>
    </row>
    <row r="185" spans="1:39" ht="15" x14ac:dyDescent="0.25">
      <c r="A185" s="24">
        <v>13</v>
      </c>
      <c r="B185" s="25">
        <f>'1BASE'!A185</f>
        <v>14</v>
      </c>
      <c r="C185" s="24">
        <f>'1BASE'!B185</f>
        <v>0</v>
      </c>
      <c r="D185" s="26">
        <f>'1BASE'!C185</f>
        <v>36.299999999999997</v>
      </c>
      <c r="E185" s="27">
        <f>'1BASE'!D185</f>
        <v>0</v>
      </c>
      <c r="F185" s="27">
        <f>'1BASE'!E185</f>
        <v>0</v>
      </c>
      <c r="G185" s="24"/>
      <c r="H185" s="26">
        <f>'1BASE'!F185</f>
        <v>9.5</v>
      </c>
      <c r="I185" s="24">
        <f>'1BASE'!G185</f>
        <v>0</v>
      </c>
      <c r="J185" s="24">
        <f>'1BASE'!H185</f>
        <v>0</v>
      </c>
      <c r="K185" s="24"/>
      <c r="L185" s="24"/>
      <c r="M185" s="24"/>
      <c r="N185" s="24"/>
      <c r="O185" s="24"/>
      <c r="P185" s="24"/>
      <c r="Q185" s="24"/>
      <c r="R185" s="24"/>
      <c r="S185" s="5"/>
      <c r="T185" s="5"/>
      <c r="U185" s="1" t="s">
        <v>96</v>
      </c>
      <c r="V185" s="11">
        <v>0.05</v>
      </c>
      <c r="W185" s="1">
        <f>+INICIO!$C$34</f>
        <v>2014</v>
      </c>
      <c r="X185" s="1" t="str">
        <f>+INICIO!$B$32</f>
        <v>LATIFOLIADO</v>
      </c>
      <c r="Y185" s="50" t="str">
        <f t="shared" si="16"/>
        <v>DEJAR</v>
      </c>
      <c r="Z185" s="50" t="str">
        <f t="shared" si="17"/>
        <v>DEJAR</v>
      </c>
      <c r="AA185" s="50" t="str">
        <f t="shared" si="18"/>
        <v>DEJAR</v>
      </c>
      <c r="AB185" s="50" t="str">
        <f t="shared" si="19"/>
        <v>DEJAR</v>
      </c>
      <c r="AC185" s="52">
        <f t="shared" si="20"/>
        <v>0.10349113059271836</v>
      </c>
      <c r="AD185" s="52">
        <f t="shared" si="21"/>
        <v>2.069822611854367</v>
      </c>
      <c r="AE185" s="52">
        <f>+IF(X185=INICIO!$B$31,0.15991*D185^2.32764,AND(X185=INICIO!$B$32)*0.13657*D185^2.38351)</f>
        <v>713.52361173794088</v>
      </c>
      <c r="AF185" s="52">
        <f t="shared" si="22"/>
        <v>14270.472234758818</v>
      </c>
      <c r="AG185" s="52">
        <f>+AE185/1000*INICIO!$D$50</f>
        <v>0.33535609751683221</v>
      </c>
      <c r="AH185" s="52">
        <f>+AF185/1000*INICIO!$D$50</f>
        <v>6.7071219503366439</v>
      </c>
      <c r="AI185" s="55">
        <f>+IF(X185=INICIO!$B$31,IF(D185&lt;=82,0.15991*D185^2.32764, 0.15991*82^2.32764),AND(X185=INICIO!$B$32)*IF(D185&lt;=79.9,0.13657*D185^2.38351,0.13657*79.9^2.38351))</f>
        <v>713.52361173794088</v>
      </c>
      <c r="AJ185" s="56">
        <f t="shared" si="23"/>
        <v>14270.472234758818</v>
      </c>
      <c r="AK185" s="56">
        <f>+AI185/1000*INICIO!$D$50</f>
        <v>0.33535609751683221</v>
      </c>
      <c r="AL185" s="56">
        <f>+AJ185/1000*INICIO!$D$50</f>
        <v>6.7071219503366439</v>
      </c>
      <c r="AM185" s="57" t="str">
        <f>+INICIO!$C$30</f>
        <v>UVG_B_Kg</v>
      </c>
    </row>
    <row r="186" spans="1:39" ht="15" x14ac:dyDescent="0.25">
      <c r="A186" s="24">
        <v>13</v>
      </c>
      <c r="B186" s="25">
        <f>'1BASE'!A186</f>
        <v>15</v>
      </c>
      <c r="C186" s="24">
        <f>'1BASE'!B186</f>
        <v>0</v>
      </c>
      <c r="D186" s="26">
        <f>'1BASE'!C186</f>
        <v>10</v>
      </c>
      <c r="E186" s="27">
        <f>'1BASE'!D186</f>
        <v>0</v>
      </c>
      <c r="F186" s="27">
        <f>'1BASE'!E186</f>
        <v>0</v>
      </c>
      <c r="G186" s="24"/>
      <c r="H186" s="26">
        <f>'1BASE'!F186</f>
        <v>4</v>
      </c>
      <c r="I186" s="24">
        <f>'1BASE'!G186</f>
        <v>0</v>
      </c>
      <c r="J186" s="24">
        <f>'1BASE'!H186</f>
        <v>0</v>
      </c>
      <c r="K186" s="24"/>
      <c r="L186" s="24"/>
      <c r="M186" s="24"/>
      <c r="N186" s="24"/>
      <c r="O186" s="24"/>
      <c r="P186" s="24"/>
      <c r="Q186" s="24"/>
      <c r="R186" s="24"/>
      <c r="S186" s="5"/>
      <c r="T186" s="5"/>
      <c r="U186" s="1" t="s">
        <v>96</v>
      </c>
      <c r="V186" s="11">
        <v>0.05</v>
      </c>
      <c r="W186" s="1">
        <f>+INICIO!$C$34</f>
        <v>2014</v>
      </c>
      <c r="X186" s="1" t="str">
        <f>+INICIO!$B$32</f>
        <v>LATIFOLIADO</v>
      </c>
      <c r="Y186" s="50" t="str">
        <f t="shared" si="16"/>
        <v>DEJAR</v>
      </c>
      <c r="Z186" s="50" t="str">
        <f t="shared" si="17"/>
        <v>DEJAR</v>
      </c>
      <c r="AA186" s="50" t="str">
        <f t="shared" si="18"/>
        <v>DEJAR</v>
      </c>
      <c r="AB186" s="50" t="str">
        <f t="shared" si="19"/>
        <v>DEJAR</v>
      </c>
      <c r="AC186" s="52">
        <f t="shared" si="20"/>
        <v>7.8539816339744835E-3</v>
      </c>
      <c r="AD186" s="52">
        <f t="shared" si="21"/>
        <v>0.15707963267948966</v>
      </c>
      <c r="AE186" s="52">
        <f>+IF(X186=INICIO!$B$31,0.15991*D186^2.32764,AND(X186=INICIO!$B$32)*0.13657*D186^2.38351)</f>
        <v>33.026709725455305</v>
      </c>
      <c r="AF186" s="52">
        <f t="shared" si="22"/>
        <v>660.5341945091061</v>
      </c>
      <c r="AG186" s="52">
        <f>+AE186/1000*INICIO!$D$50</f>
        <v>1.5522553570963995E-2</v>
      </c>
      <c r="AH186" s="52">
        <f>+AF186/1000*INICIO!$D$50</f>
        <v>0.31045107141927986</v>
      </c>
      <c r="AI186" s="55">
        <f>+IF(X186=INICIO!$B$31,IF(D186&lt;=82,0.15991*D186^2.32764, 0.15991*82^2.32764),AND(X186=INICIO!$B$32)*IF(D186&lt;=79.9,0.13657*D186^2.38351,0.13657*79.9^2.38351))</f>
        <v>33.026709725455305</v>
      </c>
      <c r="AJ186" s="56">
        <f t="shared" si="23"/>
        <v>660.5341945091061</v>
      </c>
      <c r="AK186" s="56">
        <f>+AI186/1000*INICIO!$D$50</f>
        <v>1.5522553570963995E-2</v>
      </c>
      <c r="AL186" s="56">
        <f>+AJ186/1000*INICIO!$D$50</f>
        <v>0.31045107141927986</v>
      </c>
      <c r="AM186" s="57" t="str">
        <f>+INICIO!$C$30</f>
        <v>UVG_B_Kg</v>
      </c>
    </row>
    <row r="187" spans="1:39" ht="15" x14ac:dyDescent="0.25">
      <c r="A187" s="24">
        <v>13</v>
      </c>
      <c r="B187" s="29">
        <f>'1BASE'!A187</f>
        <v>16</v>
      </c>
      <c r="C187" s="30">
        <f>'1BASE'!B187</f>
        <v>0</v>
      </c>
      <c r="D187" s="26">
        <f>'1BASE'!C187</f>
        <v>13.5</v>
      </c>
      <c r="E187" s="27">
        <f>'1BASE'!D187</f>
        <v>0</v>
      </c>
      <c r="F187" s="27">
        <f>'1BASE'!E187</f>
        <v>0</v>
      </c>
      <c r="G187" s="30"/>
      <c r="H187" s="26">
        <f>'1BASE'!F187</f>
        <v>5.5</v>
      </c>
      <c r="I187" s="24">
        <f>'1BASE'!G187</f>
        <v>0</v>
      </c>
      <c r="J187" s="24">
        <f>'1BASE'!H187</f>
        <v>0</v>
      </c>
      <c r="K187" s="24"/>
      <c r="L187" s="24"/>
      <c r="M187" s="24"/>
      <c r="N187" s="24"/>
      <c r="O187" s="24"/>
      <c r="P187" s="24"/>
      <c r="Q187" s="24"/>
      <c r="R187" s="24"/>
      <c r="S187" s="5"/>
      <c r="T187" s="5"/>
      <c r="U187" s="1" t="s">
        <v>96</v>
      </c>
      <c r="V187" s="11">
        <v>0.05</v>
      </c>
      <c r="W187" s="1">
        <f>+INICIO!$C$34</f>
        <v>2014</v>
      </c>
      <c r="X187" s="1" t="str">
        <f>+INICIO!$B$32</f>
        <v>LATIFOLIADO</v>
      </c>
      <c r="Y187" s="50" t="str">
        <f t="shared" si="16"/>
        <v>DEJAR</v>
      </c>
      <c r="Z187" s="50" t="str">
        <f t="shared" si="17"/>
        <v>DEJAR</v>
      </c>
      <c r="AA187" s="50" t="str">
        <f t="shared" si="18"/>
        <v>DEJAR</v>
      </c>
      <c r="AB187" s="50" t="str">
        <f t="shared" si="19"/>
        <v>DEJAR</v>
      </c>
      <c r="AC187" s="52">
        <f t="shared" si="20"/>
        <v>1.4313881527918496E-2</v>
      </c>
      <c r="AD187" s="52">
        <f t="shared" si="21"/>
        <v>0.28627763055836991</v>
      </c>
      <c r="AE187" s="52">
        <f>+IF(X187=INICIO!$B$31,0.15991*D187^2.32764,AND(X187=INICIO!$B$32)*0.13657*D187^2.38351)</f>
        <v>67.533172179763213</v>
      </c>
      <c r="AF187" s="52">
        <f t="shared" si="22"/>
        <v>1350.6634435952642</v>
      </c>
      <c r="AG187" s="52">
        <f>+AE187/1000*INICIO!$D$50</f>
        <v>3.1740590924488707E-2</v>
      </c>
      <c r="AH187" s="52">
        <f>+AF187/1000*INICIO!$D$50</f>
        <v>0.63481181848977419</v>
      </c>
      <c r="AI187" s="55">
        <f>+IF(X187=INICIO!$B$31,IF(D187&lt;=82,0.15991*D187^2.32764, 0.15991*82^2.32764),AND(X187=INICIO!$B$32)*IF(D187&lt;=79.9,0.13657*D187^2.38351,0.13657*79.9^2.38351))</f>
        <v>67.533172179763213</v>
      </c>
      <c r="AJ187" s="56">
        <f t="shared" si="23"/>
        <v>1350.6634435952642</v>
      </c>
      <c r="AK187" s="56">
        <f>+AI187/1000*INICIO!$D$50</f>
        <v>3.1740590924488707E-2</v>
      </c>
      <c r="AL187" s="56">
        <f>+AJ187/1000*INICIO!$D$50</f>
        <v>0.63481181848977419</v>
      </c>
      <c r="AM187" s="57" t="str">
        <f>+INICIO!$C$30</f>
        <v>UVG_B_Kg</v>
      </c>
    </row>
    <row r="188" spans="1:39" ht="15" x14ac:dyDescent="0.25">
      <c r="A188" s="24">
        <v>13</v>
      </c>
      <c r="B188" s="29">
        <f>'1BASE'!A188</f>
        <v>17</v>
      </c>
      <c r="C188" s="24">
        <f>'1BASE'!B188</f>
        <v>0</v>
      </c>
      <c r="D188" s="26">
        <f>'1BASE'!C188</f>
        <v>78</v>
      </c>
      <c r="E188" s="27">
        <f>'1BASE'!D188</f>
        <v>0</v>
      </c>
      <c r="F188" s="27">
        <f>'1BASE'!E188</f>
        <v>0</v>
      </c>
      <c r="G188" s="24"/>
      <c r="H188" s="26">
        <f>'1BASE'!F188</f>
        <v>11</v>
      </c>
      <c r="I188" s="24">
        <f>'1BASE'!G188</f>
        <v>0</v>
      </c>
      <c r="J188" s="24">
        <f>'1BASE'!H188</f>
        <v>0</v>
      </c>
      <c r="K188" s="24"/>
      <c r="L188" s="24"/>
      <c r="M188" s="24"/>
      <c r="N188" s="24"/>
      <c r="O188" s="24"/>
      <c r="P188" s="24"/>
      <c r="Q188" s="24"/>
      <c r="R188" s="24"/>
      <c r="S188" s="5"/>
      <c r="T188" s="5"/>
      <c r="U188" s="1" t="s">
        <v>96</v>
      </c>
      <c r="V188" s="11">
        <v>0.05</v>
      </c>
      <c r="W188" s="1">
        <f>+INICIO!$C$34</f>
        <v>2014</v>
      </c>
      <c r="X188" s="1" t="str">
        <f>+INICIO!$B$32</f>
        <v>LATIFOLIADO</v>
      </c>
      <c r="Y188" s="50" t="str">
        <f t="shared" si="16"/>
        <v>DEJAR</v>
      </c>
      <c r="Z188" s="50" t="str">
        <f t="shared" si="17"/>
        <v>DEJAR</v>
      </c>
      <c r="AA188" s="50" t="str">
        <f t="shared" si="18"/>
        <v>DEJAR</v>
      </c>
      <c r="AB188" s="50" t="str">
        <f t="shared" si="19"/>
        <v>DEJAR</v>
      </c>
      <c r="AC188" s="52">
        <f t="shared" si="20"/>
        <v>0.4778362426110076</v>
      </c>
      <c r="AD188" s="52">
        <f t="shared" si="21"/>
        <v>9.5567248522201513</v>
      </c>
      <c r="AE188" s="52">
        <f>+IF(X188=INICIO!$B$31,0.15991*D188^2.32764,AND(X188=INICIO!$B$32)*0.13657*D188^2.38351)</f>
        <v>4417.552462617733</v>
      </c>
      <c r="AF188" s="52">
        <f t="shared" si="22"/>
        <v>88351.049252354656</v>
      </c>
      <c r="AG188" s="52">
        <f>+AE188/1000*INICIO!$D$50</f>
        <v>2.0762496574303344</v>
      </c>
      <c r="AH188" s="52">
        <f>+AF188/1000*INICIO!$D$50</f>
        <v>41.524993148606683</v>
      </c>
      <c r="AI188" s="55">
        <f>+IF(X188=INICIO!$B$31,IF(D188&lt;=82,0.15991*D188^2.32764, 0.15991*82^2.32764),AND(X188=INICIO!$B$32)*IF(D188&lt;=79.9,0.13657*D188^2.38351,0.13657*79.9^2.38351))</f>
        <v>4417.552462617733</v>
      </c>
      <c r="AJ188" s="56">
        <f t="shared" si="23"/>
        <v>88351.049252354656</v>
      </c>
      <c r="AK188" s="56">
        <f>+AI188/1000*INICIO!$D$50</f>
        <v>2.0762496574303344</v>
      </c>
      <c r="AL188" s="56">
        <f>+AJ188/1000*INICIO!$D$50</f>
        <v>41.524993148606683</v>
      </c>
      <c r="AM188" s="57" t="str">
        <f>+INICIO!$C$30</f>
        <v>UVG_B_Kg</v>
      </c>
    </row>
    <row r="189" spans="1:39" ht="15" x14ac:dyDescent="0.25">
      <c r="A189" s="24">
        <v>14</v>
      </c>
      <c r="B189" s="25">
        <f>'1BASE'!A189</f>
        <v>1</v>
      </c>
      <c r="C189" s="24">
        <f>'1BASE'!B189</f>
        <v>0</v>
      </c>
      <c r="D189" s="26">
        <f>'1BASE'!C189</f>
        <v>78</v>
      </c>
      <c r="E189" s="27">
        <f>'1BASE'!D189</f>
        <v>70</v>
      </c>
      <c r="F189" s="27">
        <f>'1BASE'!E189</f>
        <v>130</v>
      </c>
      <c r="G189" s="27">
        <f>(TAN(RADIANS(E189))*20)+(TAN(RADIANS(F189))*20)</f>
        <v>31.114476537208233</v>
      </c>
      <c r="H189" s="26">
        <f>'1BASE'!F189</f>
        <v>4.5</v>
      </c>
      <c r="I189" s="22" t="str">
        <f>'1BASE'!G189</f>
        <v>X</v>
      </c>
      <c r="J189" s="22" t="str">
        <f>'1BASE'!H189</f>
        <v>Y</v>
      </c>
      <c r="K189" s="24"/>
      <c r="L189" s="24"/>
      <c r="M189" s="24"/>
      <c r="N189" s="24"/>
      <c r="O189" s="24"/>
      <c r="P189" s="24"/>
      <c r="Q189" s="24"/>
      <c r="R189" s="24"/>
      <c r="S189" s="5"/>
      <c r="T189" s="5"/>
      <c r="U189" s="1" t="s">
        <v>96</v>
      </c>
      <c r="V189" s="11">
        <v>0.05</v>
      </c>
      <c r="W189" s="1">
        <f>+INICIO!$C$34</f>
        <v>2014</v>
      </c>
      <c r="X189" s="1" t="str">
        <f>+INICIO!$B$32</f>
        <v>LATIFOLIADO</v>
      </c>
      <c r="Y189" s="50" t="str">
        <f t="shared" si="16"/>
        <v>DEJAR</v>
      </c>
      <c r="Z189" s="50" t="str">
        <f t="shared" si="17"/>
        <v>DEJAR</v>
      </c>
      <c r="AA189" s="50" t="str">
        <f t="shared" si="18"/>
        <v>DEJAR</v>
      </c>
      <c r="AB189" s="50" t="str">
        <f t="shared" si="19"/>
        <v>DEJAR</v>
      </c>
      <c r="AC189" s="52">
        <f t="shared" si="20"/>
        <v>0.4778362426110076</v>
      </c>
      <c r="AD189" s="52">
        <f t="shared" si="21"/>
        <v>9.5567248522201513</v>
      </c>
      <c r="AE189" s="52">
        <f>+IF(X189=INICIO!$B$31,0.15991*D189^2.32764,AND(X189=INICIO!$B$32)*0.13657*D189^2.38351)</f>
        <v>4417.552462617733</v>
      </c>
      <c r="AF189" s="52">
        <f t="shared" si="22"/>
        <v>88351.049252354656</v>
      </c>
      <c r="AG189" s="52">
        <f>+AE189/1000*INICIO!$D$50</f>
        <v>2.0762496574303344</v>
      </c>
      <c r="AH189" s="52">
        <f>+AF189/1000*INICIO!$D$50</f>
        <v>41.524993148606683</v>
      </c>
      <c r="AI189" s="55">
        <f>+IF(X189=INICIO!$B$31,IF(D189&lt;=82,0.15991*D189^2.32764, 0.15991*82^2.32764),AND(X189=INICIO!$B$32)*IF(D189&lt;=79.9,0.13657*D189^2.38351,0.13657*79.9^2.38351))</f>
        <v>4417.552462617733</v>
      </c>
      <c r="AJ189" s="56">
        <f t="shared" si="23"/>
        <v>88351.049252354656</v>
      </c>
      <c r="AK189" s="56">
        <f>+AI189/1000*INICIO!$D$50</f>
        <v>2.0762496574303344</v>
      </c>
      <c r="AL189" s="56">
        <f>+AJ189/1000*INICIO!$D$50</f>
        <v>41.524993148606683</v>
      </c>
      <c r="AM189" s="57" t="str">
        <f>+INICIO!$C$30</f>
        <v>UVG_B_Kg</v>
      </c>
    </row>
    <row r="190" spans="1:39" ht="15" x14ac:dyDescent="0.25">
      <c r="A190" s="24">
        <v>14</v>
      </c>
      <c r="B190" s="25">
        <f>'1BASE'!A190</f>
        <v>2</v>
      </c>
      <c r="C190" s="24">
        <f>'1BASE'!B190</f>
        <v>0</v>
      </c>
      <c r="D190" s="26">
        <f>'1BASE'!C190</f>
        <v>29</v>
      </c>
      <c r="E190" s="27">
        <f>'1BASE'!D190</f>
        <v>50</v>
      </c>
      <c r="F190" s="27">
        <f>'1BASE'!E190</f>
        <v>100</v>
      </c>
      <c r="G190" s="32">
        <f t="shared" ref="G190:G233" si="24">(TAN(RADIANS(E190))*20)+(TAN(RADIANS(F190))*20)</f>
        <v>-89.590564540470012</v>
      </c>
      <c r="H190" s="26">
        <f>'1BASE'!F190</f>
        <v>4</v>
      </c>
      <c r="I190" s="22" t="str">
        <f>'1BASE'!G190</f>
        <v>88° 38' 42.3''</v>
      </c>
      <c r="J190" s="22" t="str">
        <f>'1BASE'!H190</f>
        <v>15° 41' 7.5''</v>
      </c>
      <c r="K190" s="24" t="str">
        <f>LEFT(I190,2)</f>
        <v>88</v>
      </c>
      <c r="L190" s="24" t="str">
        <f>+LEFT(RIGHT(I190,10),2)</f>
        <v>38</v>
      </c>
      <c r="M190" s="24" t="str">
        <f>+LEFT(RIGHT(I190,6),4)</f>
        <v>42.3</v>
      </c>
      <c r="N190" s="24">
        <f>(K190+((L190+(M190/60)/60)/60))*-1</f>
        <v>-88.633529166666662</v>
      </c>
      <c r="O190" s="24" t="str">
        <f>LEFT(J190,2)</f>
        <v>15</v>
      </c>
      <c r="P190" s="24" t="str">
        <f>+LEFT(RIGHT(J190,9),2)</f>
        <v>41</v>
      </c>
      <c r="Q190" s="24" t="str">
        <f>+LEFT(RIGHT(J190,6),4)</f>
        <v xml:space="preserve"> 7.5</v>
      </c>
      <c r="R190" s="24">
        <f>O190+((P190+(Q190/60)/60)/60)</f>
        <v>15.683368055555556</v>
      </c>
      <c r="S190" s="11">
        <v>700078.53799900005</v>
      </c>
      <c r="T190" s="11">
        <v>1735139.91946</v>
      </c>
      <c r="U190" s="1" t="s">
        <v>96</v>
      </c>
      <c r="V190" s="11">
        <v>0.05</v>
      </c>
      <c r="W190" s="1">
        <f>+INICIO!$C$34</f>
        <v>2014</v>
      </c>
      <c r="X190" s="1" t="str">
        <f>+INICIO!$B$32</f>
        <v>LATIFOLIADO</v>
      </c>
      <c r="Y190" s="50" t="str">
        <f t="shared" si="16"/>
        <v>DEJAR</v>
      </c>
      <c r="Z190" s="50" t="str">
        <f t="shared" si="17"/>
        <v>DEJAR</v>
      </c>
      <c r="AA190" s="50" t="str">
        <f t="shared" si="18"/>
        <v>DEJAR</v>
      </c>
      <c r="AB190" s="50" t="str">
        <f t="shared" si="19"/>
        <v>DEJAR</v>
      </c>
      <c r="AC190" s="52">
        <f t="shared" si="20"/>
        <v>6.6051985541725394E-2</v>
      </c>
      <c r="AD190" s="52">
        <f t="shared" si="21"/>
        <v>1.3210397108345078</v>
      </c>
      <c r="AE190" s="52">
        <f>+IF(X190=INICIO!$B$31,0.15991*D190^2.32764,AND(X190=INICIO!$B$32)*0.13657*D190^2.38351)</f>
        <v>417.82609631752575</v>
      </c>
      <c r="AF190" s="52">
        <f t="shared" si="22"/>
        <v>8356.5219263505151</v>
      </c>
      <c r="AG190" s="52">
        <f>+AE190/1000*INICIO!$D$50</f>
        <v>0.1963782652692371</v>
      </c>
      <c r="AH190" s="52">
        <f>+AF190/1000*INICIO!$D$50</f>
        <v>3.9275653053847419</v>
      </c>
      <c r="AI190" s="55">
        <f>+IF(X190=INICIO!$B$31,IF(D190&lt;=82,0.15991*D190^2.32764, 0.15991*82^2.32764),AND(X190=INICIO!$B$32)*IF(D190&lt;=79.9,0.13657*D190^2.38351,0.13657*79.9^2.38351))</f>
        <v>417.82609631752575</v>
      </c>
      <c r="AJ190" s="56">
        <f t="shared" si="23"/>
        <v>8356.5219263505151</v>
      </c>
      <c r="AK190" s="56">
        <f>+AI190/1000*INICIO!$D$50</f>
        <v>0.1963782652692371</v>
      </c>
      <c r="AL190" s="56">
        <f>+AJ190/1000*INICIO!$D$50</f>
        <v>3.9275653053847419</v>
      </c>
      <c r="AM190" s="57" t="str">
        <f>+INICIO!$C$30</f>
        <v>UVG_B_Kg</v>
      </c>
    </row>
    <row r="191" spans="1:39" ht="15" x14ac:dyDescent="0.25">
      <c r="A191" s="24">
        <v>14</v>
      </c>
      <c r="B191" s="25">
        <f>'1BASE'!A191</f>
        <v>3</v>
      </c>
      <c r="C191" s="24">
        <f>'1BASE'!B191</f>
        <v>0</v>
      </c>
      <c r="D191" s="26">
        <f>'1BASE'!C191</f>
        <v>60</v>
      </c>
      <c r="E191" s="27">
        <f>'1BASE'!D191</f>
        <v>75</v>
      </c>
      <c r="F191" s="27">
        <f>'1BASE'!E191</f>
        <v>84</v>
      </c>
      <c r="G191" s="27">
        <f t="shared" si="24"/>
        <v>264.92830523582927</v>
      </c>
      <c r="H191" s="26">
        <f>'1BASE'!F191</f>
        <v>7</v>
      </c>
      <c r="I191" s="24">
        <f>'1BASE'!G191</f>
        <v>0</v>
      </c>
      <c r="J191" s="24">
        <f>'1BASE'!H191</f>
        <v>0</v>
      </c>
      <c r="K191" s="24"/>
      <c r="L191" s="24"/>
      <c r="M191" s="24"/>
      <c r="N191" s="24"/>
      <c r="O191" s="24"/>
      <c r="P191" s="24"/>
      <c r="Q191" s="24"/>
      <c r="R191" s="24"/>
      <c r="S191" s="5"/>
      <c r="T191" s="5"/>
      <c r="U191" s="1" t="s">
        <v>96</v>
      </c>
      <c r="V191" s="11">
        <v>0.05</v>
      </c>
      <c r="W191" s="1">
        <f>+INICIO!$C$34</f>
        <v>2014</v>
      </c>
      <c r="X191" s="1" t="str">
        <f>+INICIO!$B$32</f>
        <v>LATIFOLIADO</v>
      </c>
      <c r="Y191" s="50" t="str">
        <f t="shared" si="16"/>
        <v>DEJAR</v>
      </c>
      <c r="Z191" s="50" t="str">
        <f t="shared" si="17"/>
        <v>DEJAR</v>
      </c>
      <c r="AA191" s="50" t="str">
        <f t="shared" si="18"/>
        <v>DEJAR</v>
      </c>
      <c r="AB191" s="50" t="str">
        <f t="shared" si="19"/>
        <v>DEJAR</v>
      </c>
      <c r="AC191" s="52">
        <f t="shared" si="20"/>
        <v>0.28274333882308139</v>
      </c>
      <c r="AD191" s="52">
        <f t="shared" si="21"/>
        <v>5.6548667764616276</v>
      </c>
      <c r="AE191" s="52">
        <f>+IF(X191=INICIO!$B$31,0.15991*D191^2.32764,AND(X191=INICIO!$B$32)*0.13657*D191^2.38351)</f>
        <v>2363.7230823297186</v>
      </c>
      <c r="AF191" s="52">
        <f t="shared" si="22"/>
        <v>47274.461646594369</v>
      </c>
      <c r="AG191" s="52">
        <f>+AE191/1000*INICIO!$D$50</f>
        <v>1.1109498486949678</v>
      </c>
      <c r="AH191" s="52">
        <f>+AF191/1000*INICIO!$D$50</f>
        <v>22.218996973899351</v>
      </c>
      <c r="AI191" s="55">
        <f>+IF(X191=INICIO!$B$31,IF(D191&lt;=82,0.15991*D191^2.32764, 0.15991*82^2.32764),AND(X191=INICIO!$B$32)*IF(D191&lt;=79.9,0.13657*D191^2.38351,0.13657*79.9^2.38351))</f>
        <v>2363.7230823297186</v>
      </c>
      <c r="AJ191" s="56">
        <f t="shared" si="23"/>
        <v>47274.461646594369</v>
      </c>
      <c r="AK191" s="56">
        <f>+AI191/1000*INICIO!$D$50</f>
        <v>1.1109498486949678</v>
      </c>
      <c r="AL191" s="56">
        <f>+AJ191/1000*INICIO!$D$50</f>
        <v>22.218996973899351</v>
      </c>
      <c r="AM191" s="57" t="str">
        <f>+INICIO!$C$30</f>
        <v>UVG_B_Kg</v>
      </c>
    </row>
    <row r="192" spans="1:39" ht="15" x14ac:dyDescent="0.25">
      <c r="A192" s="24">
        <v>14</v>
      </c>
      <c r="B192" s="25">
        <f>'1BASE'!A192</f>
        <v>4</v>
      </c>
      <c r="C192" s="27">
        <f>'1BASE'!B192</f>
        <v>0</v>
      </c>
      <c r="D192" s="26">
        <f>'1BASE'!C192</f>
        <v>33</v>
      </c>
      <c r="E192" s="27">
        <f>'1BASE'!D192</f>
        <v>95</v>
      </c>
      <c r="F192" s="27">
        <f>'1BASE'!E192</f>
        <v>110</v>
      </c>
      <c r="G192" s="32">
        <f t="shared" si="24"/>
        <v>-283.55059444431919</v>
      </c>
      <c r="H192" s="26">
        <f>'1BASE'!F192</f>
        <v>3</v>
      </c>
      <c r="I192" s="24">
        <f>'1BASE'!G192</f>
        <v>0</v>
      </c>
      <c r="J192" s="24">
        <f>'1BASE'!H192</f>
        <v>0</v>
      </c>
      <c r="K192" s="24"/>
      <c r="L192" s="24"/>
      <c r="M192" s="24"/>
      <c r="N192" s="24"/>
      <c r="O192" s="24"/>
      <c r="P192" s="24"/>
      <c r="Q192" s="24"/>
      <c r="R192" s="24"/>
      <c r="S192" s="5"/>
      <c r="T192" s="5"/>
      <c r="U192" s="1" t="s">
        <v>96</v>
      </c>
      <c r="V192" s="11">
        <v>0.05</v>
      </c>
      <c r="W192" s="1">
        <f>+INICIO!$C$34</f>
        <v>2014</v>
      </c>
      <c r="X192" s="1" t="str">
        <f>+INICIO!$B$32</f>
        <v>LATIFOLIADO</v>
      </c>
      <c r="Y192" s="50" t="str">
        <f t="shared" si="16"/>
        <v>DEJAR</v>
      </c>
      <c r="Z192" s="50" t="str">
        <f t="shared" si="17"/>
        <v>DEJAR</v>
      </c>
      <c r="AA192" s="50" t="str">
        <f t="shared" si="18"/>
        <v>DEJAR</v>
      </c>
      <c r="AB192" s="50" t="str">
        <f t="shared" si="19"/>
        <v>DEJAR</v>
      </c>
      <c r="AC192" s="52">
        <f t="shared" si="20"/>
        <v>8.5529859993982132E-2</v>
      </c>
      <c r="AD192" s="52">
        <f t="shared" si="21"/>
        <v>1.7105971998796425</v>
      </c>
      <c r="AE192" s="52">
        <f>+IF(X192=INICIO!$B$31,0.15991*D192^2.32764,AND(X192=INICIO!$B$32)*0.13657*D192^2.38351)</f>
        <v>568.52356444302654</v>
      </c>
      <c r="AF192" s="52">
        <f t="shared" si="22"/>
        <v>11370.47128886053</v>
      </c>
      <c r="AG192" s="52">
        <f>+AE192/1000*INICIO!$D$50</f>
        <v>0.26720607528822243</v>
      </c>
      <c r="AH192" s="52">
        <f>+AF192/1000*INICIO!$D$50</f>
        <v>5.3441215057644493</v>
      </c>
      <c r="AI192" s="55">
        <f>+IF(X192=INICIO!$B$31,IF(D192&lt;=82,0.15991*D192^2.32764, 0.15991*82^2.32764),AND(X192=INICIO!$B$32)*IF(D192&lt;=79.9,0.13657*D192^2.38351,0.13657*79.9^2.38351))</f>
        <v>568.52356444302654</v>
      </c>
      <c r="AJ192" s="56">
        <f t="shared" si="23"/>
        <v>11370.47128886053</v>
      </c>
      <c r="AK192" s="56">
        <f>+AI192/1000*INICIO!$D$50</f>
        <v>0.26720607528822243</v>
      </c>
      <c r="AL192" s="56">
        <f>+AJ192/1000*INICIO!$D$50</f>
        <v>5.3441215057644493</v>
      </c>
      <c r="AM192" s="57" t="str">
        <f>+INICIO!$C$30</f>
        <v>UVG_B_Kg</v>
      </c>
    </row>
    <row r="193" spans="1:39" ht="15" x14ac:dyDescent="0.25">
      <c r="A193" s="24">
        <v>14</v>
      </c>
      <c r="B193" s="25">
        <f>'1BASE'!A193</f>
        <v>5</v>
      </c>
      <c r="C193" s="24">
        <f>'1BASE'!B193</f>
        <v>0</v>
      </c>
      <c r="D193" s="26">
        <f>'1BASE'!C193</f>
        <v>75</v>
      </c>
      <c r="E193" s="27">
        <f>'1BASE'!D193</f>
        <v>90</v>
      </c>
      <c r="F193" s="27">
        <f>'1BASE'!E193</f>
        <v>140</v>
      </c>
      <c r="G193" s="32">
        <f t="shared" si="24"/>
        <v>3.2649104555238144E+17</v>
      </c>
      <c r="H193" s="26">
        <f>'1BASE'!F193</f>
        <v>3</v>
      </c>
      <c r="I193" s="24">
        <f>'1BASE'!G193</f>
        <v>0</v>
      </c>
      <c r="J193" s="24">
        <f>'1BASE'!H193</f>
        <v>0</v>
      </c>
      <c r="K193" s="24"/>
      <c r="L193" s="24"/>
      <c r="M193" s="24"/>
      <c r="N193" s="24"/>
      <c r="O193" s="24"/>
      <c r="P193" s="24"/>
      <c r="Q193" s="24"/>
      <c r="R193" s="24"/>
      <c r="S193" s="5"/>
      <c r="T193" s="5"/>
      <c r="U193" s="1" t="s">
        <v>96</v>
      </c>
      <c r="V193" s="11">
        <v>0.05</v>
      </c>
      <c r="W193" s="1">
        <f>+INICIO!$C$34</f>
        <v>2014</v>
      </c>
      <c r="X193" s="1" t="str">
        <f>+INICIO!$B$32</f>
        <v>LATIFOLIADO</v>
      </c>
      <c r="Y193" s="50" t="str">
        <f t="shared" si="16"/>
        <v>DEJAR</v>
      </c>
      <c r="Z193" s="50" t="str">
        <f t="shared" si="17"/>
        <v>DEJAR</v>
      </c>
      <c r="AA193" s="50" t="str">
        <f t="shared" si="18"/>
        <v>DEJAR</v>
      </c>
      <c r="AB193" s="50" t="str">
        <f t="shared" si="19"/>
        <v>DEJAR</v>
      </c>
      <c r="AC193" s="52">
        <f t="shared" si="20"/>
        <v>0.44178646691106466</v>
      </c>
      <c r="AD193" s="52">
        <f t="shared" si="21"/>
        <v>8.8357293382212934</v>
      </c>
      <c r="AE193" s="52">
        <f>+IF(X193=INICIO!$B$31,0.15991*D193^2.32764,AND(X193=INICIO!$B$32)*0.13657*D193^2.38351)</f>
        <v>4023.3015200759378</v>
      </c>
      <c r="AF193" s="52">
        <f t="shared" si="22"/>
        <v>80466.030401518758</v>
      </c>
      <c r="AG193" s="52">
        <f>+AE193/1000*INICIO!$D$50</f>
        <v>1.8909517144356907</v>
      </c>
      <c r="AH193" s="52">
        <f>+AF193/1000*INICIO!$D$50</f>
        <v>37.819034288713809</v>
      </c>
      <c r="AI193" s="55">
        <f>+IF(X193=INICIO!$B$31,IF(D193&lt;=82,0.15991*D193^2.32764, 0.15991*82^2.32764),AND(X193=INICIO!$B$32)*IF(D193&lt;=79.9,0.13657*D193^2.38351,0.13657*79.9^2.38351))</f>
        <v>4023.3015200759378</v>
      </c>
      <c r="AJ193" s="56">
        <f t="shared" si="23"/>
        <v>80466.030401518758</v>
      </c>
      <c r="AK193" s="56">
        <f>+AI193/1000*INICIO!$D$50</f>
        <v>1.8909517144356907</v>
      </c>
      <c r="AL193" s="56">
        <f>+AJ193/1000*INICIO!$D$50</f>
        <v>37.819034288713809</v>
      </c>
      <c r="AM193" s="57" t="str">
        <f>+INICIO!$C$30</f>
        <v>UVG_B_Kg</v>
      </c>
    </row>
    <row r="194" spans="1:39" ht="15" x14ac:dyDescent="0.25">
      <c r="A194" s="24">
        <v>14</v>
      </c>
      <c r="B194" s="25">
        <f>'1BASE'!A194</f>
        <v>6</v>
      </c>
      <c r="C194" s="24">
        <f>'1BASE'!B194</f>
        <v>0</v>
      </c>
      <c r="D194" s="26">
        <f>'1BASE'!C194</f>
        <v>25</v>
      </c>
      <c r="E194" s="27">
        <f>'1BASE'!D194</f>
        <v>70</v>
      </c>
      <c r="F194" s="27">
        <f>'1BASE'!E194</f>
        <v>45</v>
      </c>
      <c r="G194" s="27">
        <f t="shared" si="24"/>
        <v>74.949548389092428</v>
      </c>
      <c r="H194" s="26">
        <f>'1BASE'!F194</f>
        <v>1.7</v>
      </c>
      <c r="I194" s="24">
        <f>'1BASE'!G194</f>
        <v>0</v>
      </c>
      <c r="J194" s="24">
        <f>'1BASE'!H194</f>
        <v>0</v>
      </c>
      <c r="K194" s="24"/>
      <c r="L194" s="24"/>
      <c r="M194" s="24"/>
      <c r="N194" s="24"/>
      <c r="O194" s="24"/>
      <c r="P194" s="24"/>
      <c r="Q194" s="24"/>
      <c r="R194" s="24"/>
      <c r="S194" s="5"/>
      <c r="T194" s="5"/>
      <c r="U194" s="1" t="s">
        <v>96</v>
      </c>
      <c r="V194" s="11">
        <v>0.05</v>
      </c>
      <c r="W194" s="1">
        <f>+INICIO!$C$34</f>
        <v>2014</v>
      </c>
      <c r="X194" s="1" t="str">
        <f>+INICIO!$B$32</f>
        <v>LATIFOLIADO</v>
      </c>
      <c r="Y194" s="50" t="str">
        <f t="shared" si="16"/>
        <v>DEJAR</v>
      </c>
      <c r="Z194" s="50" t="str">
        <f t="shared" si="17"/>
        <v>DEJAR</v>
      </c>
      <c r="AA194" s="50" t="str">
        <f t="shared" si="18"/>
        <v>DEJAR</v>
      </c>
      <c r="AB194" s="50" t="str">
        <f t="shared" si="19"/>
        <v>DEJAR</v>
      </c>
      <c r="AC194" s="52">
        <f t="shared" si="20"/>
        <v>4.9087385212340517E-2</v>
      </c>
      <c r="AD194" s="52">
        <f t="shared" si="21"/>
        <v>0.98174770424681035</v>
      </c>
      <c r="AE194" s="52">
        <f>+IF(X194=INICIO!$B$31,0.15991*D194^2.32764,AND(X194=INICIO!$B$32)*0.13657*D194^2.38351)</f>
        <v>293.3319028192812</v>
      </c>
      <c r="AF194" s="52">
        <f t="shared" si="22"/>
        <v>5866.6380563856237</v>
      </c>
      <c r="AG194" s="52">
        <f>+AE194/1000*INICIO!$D$50</f>
        <v>0.13786599432506214</v>
      </c>
      <c r="AH194" s="52">
        <f>+AF194/1000*INICIO!$D$50</f>
        <v>2.7573198865012429</v>
      </c>
      <c r="AI194" s="55">
        <f>+IF(X194=INICIO!$B$31,IF(D194&lt;=82,0.15991*D194^2.32764, 0.15991*82^2.32764),AND(X194=INICIO!$B$32)*IF(D194&lt;=79.9,0.13657*D194^2.38351,0.13657*79.9^2.38351))</f>
        <v>293.3319028192812</v>
      </c>
      <c r="AJ194" s="56">
        <f t="shared" si="23"/>
        <v>5866.6380563856237</v>
      </c>
      <c r="AK194" s="56">
        <f>+AI194/1000*INICIO!$D$50</f>
        <v>0.13786599432506214</v>
      </c>
      <c r="AL194" s="56">
        <f>+AJ194/1000*INICIO!$D$50</f>
        <v>2.7573198865012429</v>
      </c>
      <c r="AM194" s="57" t="str">
        <f>+INICIO!$C$30</f>
        <v>UVG_B_Kg</v>
      </c>
    </row>
    <row r="195" spans="1:39" ht="15" x14ac:dyDescent="0.25">
      <c r="A195" s="24">
        <v>14</v>
      </c>
      <c r="B195" s="25">
        <f>'1BASE'!A195</f>
        <v>7</v>
      </c>
      <c r="C195" s="24">
        <f>'1BASE'!B195</f>
        <v>0</v>
      </c>
      <c r="D195" s="26">
        <f>'1BASE'!C195</f>
        <v>23.5</v>
      </c>
      <c r="E195" s="27">
        <f>'1BASE'!D195</f>
        <v>75</v>
      </c>
      <c r="F195" s="27">
        <f>'1BASE'!E195</f>
        <v>110</v>
      </c>
      <c r="G195" s="27">
        <f t="shared" si="24"/>
        <v>19.691467762285107</v>
      </c>
      <c r="H195" s="26">
        <f>'1BASE'!F195</f>
        <v>1.75</v>
      </c>
      <c r="I195" s="24">
        <f>'1BASE'!G195</f>
        <v>0</v>
      </c>
      <c r="J195" s="24">
        <f>'1BASE'!H195</f>
        <v>0</v>
      </c>
      <c r="K195" s="24"/>
      <c r="L195" s="24"/>
      <c r="M195" s="24"/>
      <c r="N195" s="24"/>
      <c r="O195" s="24"/>
      <c r="P195" s="24"/>
      <c r="Q195" s="24"/>
      <c r="R195" s="24"/>
      <c r="S195" s="5"/>
      <c r="T195" s="5"/>
      <c r="U195" s="1" t="s">
        <v>96</v>
      </c>
      <c r="V195" s="11">
        <v>0.05</v>
      </c>
      <c r="W195" s="1">
        <f>+INICIO!$C$34</f>
        <v>2014</v>
      </c>
      <c r="X195" s="1" t="str">
        <f>+INICIO!$B$32</f>
        <v>LATIFOLIADO</v>
      </c>
      <c r="Y195" s="50" t="str">
        <f t="shared" ref="Y195:Y233" si="25">+IF(D195&gt;=10,"DEJAR","DEPURAR")</f>
        <v>DEJAR</v>
      </c>
      <c r="Z195" s="50" t="str">
        <f t="shared" ref="Z195:Z233" si="26">+IF(OR(G195&gt;=5,G195=0,G195&lt;=0),"DEJAR","DEPURAR")</f>
        <v>DEJAR</v>
      </c>
      <c r="AA195" s="50" t="str">
        <f t="shared" ref="AA195:AA233" si="27">+IF(AND(Y195="DEJAR"),"DEJAR","DEPURAR")</f>
        <v>DEJAR</v>
      </c>
      <c r="AB195" s="50" t="str">
        <f t="shared" ref="AB195:AB233" si="28">+IF(AND(Y195="DEJAR"),"DEJAR","DEPURAR")</f>
        <v>DEJAR</v>
      </c>
      <c r="AC195" s="52">
        <f t="shared" ref="AC195:AC233" si="29">+PI()/4*(POWER((D195/100),2))</f>
        <v>4.3373613573624077E-2</v>
      </c>
      <c r="AD195" s="52">
        <f t="shared" ref="AD195:AD233" si="30">+AC195/V195</f>
        <v>0.86747227147248152</v>
      </c>
      <c r="AE195" s="52">
        <f>+IF(X195=INICIO!$B$31,0.15991*D195^2.32764,AND(X195=INICIO!$B$32)*0.13657*D195^2.38351)</f>
        <v>253.10998017593391</v>
      </c>
      <c r="AF195" s="52">
        <f t="shared" ref="AF195:AF233" si="31">+AE195*1/V195</f>
        <v>5062.1996035186776</v>
      </c>
      <c r="AG195" s="52">
        <f>+AE195/1000*INICIO!$D$50</f>
        <v>0.11896169068268893</v>
      </c>
      <c r="AH195" s="52">
        <f>+AF195/1000*INICIO!$D$50</f>
        <v>2.3792338136537783</v>
      </c>
      <c r="AI195" s="55">
        <f>+IF(X195=INICIO!$B$31,IF(D195&lt;=82,0.15991*D195^2.32764, 0.15991*82^2.32764),AND(X195=INICIO!$B$32)*IF(D195&lt;=79.9,0.13657*D195^2.38351,0.13657*79.9^2.38351))</f>
        <v>253.10998017593391</v>
      </c>
      <c r="AJ195" s="56">
        <f t="shared" ref="AJ195:AJ233" si="32">+AI195*1/V195</f>
        <v>5062.1996035186776</v>
      </c>
      <c r="AK195" s="56">
        <f>+AI195/1000*INICIO!$D$50</f>
        <v>0.11896169068268893</v>
      </c>
      <c r="AL195" s="56">
        <f>+AJ195/1000*INICIO!$D$50</f>
        <v>2.3792338136537783</v>
      </c>
      <c r="AM195" s="57" t="str">
        <f>+INICIO!$C$30</f>
        <v>UVG_B_Kg</v>
      </c>
    </row>
    <row r="196" spans="1:39" ht="15" x14ac:dyDescent="0.25">
      <c r="A196" s="24">
        <v>14</v>
      </c>
      <c r="B196" s="25">
        <f>'1BASE'!A196</f>
        <v>8</v>
      </c>
      <c r="C196" s="24">
        <f>'1BASE'!B196</f>
        <v>0</v>
      </c>
      <c r="D196" s="26">
        <f>'1BASE'!C196</f>
        <v>13.5</v>
      </c>
      <c r="E196" s="27">
        <f>'1BASE'!D196</f>
        <v>60</v>
      </c>
      <c r="F196" s="27">
        <f>'1BASE'!E196</f>
        <v>45</v>
      </c>
      <c r="G196" s="27">
        <f t="shared" si="24"/>
        <v>54.641016151377528</v>
      </c>
      <c r="H196" s="26">
        <f>'1BASE'!F196</f>
        <v>1.5</v>
      </c>
      <c r="I196" s="24">
        <f>'1BASE'!G196</f>
        <v>0</v>
      </c>
      <c r="J196" s="24">
        <f>'1BASE'!H196</f>
        <v>0</v>
      </c>
      <c r="K196" s="24"/>
      <c r="L196" s="24"/>
      <c r="M196" s="24"/>
      <c r="N196" s="24"/>
      <c r="O196" s="24"/>
      <c r="P196" s="24"/>
      <c r="Q196" s="24"/>
      <c r="R196" s="24"/>
      <c r="S196" s="5"/>
      <c r="T196" s="5"/>
      <c r="U196" s="1" t="s">
        <v>96</v>
      </c>
      <c r="V196" s="11">
        <v>0.05</v>
      </c>
      <c r="W196" s="1">
        <f>+INICIO!$C$34</f>
        <v>2014</v>
      </c>
      <c r="X196" s="1" t="str">
        <f>+INICIO!$B$32</f>
        <v>LATIFOLIADO</v>
      </c>
      <c r="Y196" s="50" t="str">
        <f t="shared" si="25"/>
        <v>DEJAR</v>
      </c>
      <c r="Z196" s="50" t="str">
        <f t="shared" si="26"/>
        <v>DEJAR</v>
      </c>
      <c r="AA196" s="50" t="str">
        <f t="shared" si="27"/>
        <v>DEJAR</v>
      </c>
      <c r="AB196" s="50" t="str">
        <f t="shared" si="28"/>
        <v>DEJAR</v>
      </c>
      <c r="AC196" s="52">
        <f t="shared" si="29"/>
        <v>1.4313881527918496E-2</v>
      </c>
      <c r="AD196" s="52">
        <f t="shared" si="30"/>
        <v>0.28627763055836991</v>
      </c>
      <c r="AE196" s="52">
        <f>+IF(X196=INICIO!$B$31,0.15991*D196^2.32764,AND(X196=INICIO!$B$32)*0.13657*D196^2.38351)</f>
        <v>67.533172179763213</v>
      </c>
      <c r="AF196" s="52">
        <f t="shared" si="31"/>
        <v>1350.6634435952642</v>
      </c>
      <c r="AG196" s="52">
        <f>+AE196/1000*INICIO!$D$50</f>
        <v>3.1740590924488707E-2</v>
      </c>
      <c r="AH196" s="52">
        <f>+AF196/1000*INICIO!$D$50</f>
        <v>0.63481181848977419</v>
      </c>
      <c r="AI196" s="55">
        <f>+IF(X196=INICIO!$B$31,IF(D196&lt;=82,0.15991*D196^2.32764, 0.15991*82^2.32764),AND(X196=INICIO!$B$32)*IF(D196&lt;=79.9,0.13657*D196^2.38351,0.13657*79.9^2.38351))</f>
        <v>67.533172179763213</v>
      </c>
      <c r="AJ196" s="56">
        <f t="shared" si="32"/>
        <v>1350.6634435952642</v>
      </c>
      <c r="AK196" s="56">
        <f>+AI196/1000*INICIO!$D$50</f>
        <v>3.1740590924488707E-2</v>
      </c>
      <c r="AL196" s="56">
        <f>+AJ196/1000*INICIO!$D$50</f>
        <v>0.63481181848977419</v>
      </c>
      <c r="AM196" s="57" t="str">
        <f>+INICIO!$C$30</f>
        <v>UVG_B_Kg</v>
      </c>
    </row>
    <row r="197" spans="1:39" ht="15" x14ac:dyDescent="0.25">
      <c r="A197" s="24">
        <v>14</v>
      </c>
      <c r="B197" s="25">
        <f>'1BASE'!A197</f>
        <v>9</v>
      </c>
      <c r="C197" s="24">
        <f>'1BASE'!B197</f>
        <v>0</v>
      </c>
      <c r="D197" s="26">
        <f>'1BASE'!C197</f>
        <v>25</v>
      </c>
      <c r="E197" s="27">
        <f>'1BASE'!D197</f>
        <v>50</v>
      </c>
      <c r="F197" s="27">
        <f>'1BASE'!E197</f>
        <v>90</v>
      </c>
      <c r="G197" s="32">
        <f t="shared" si="24"/>
        <v>3.2649104555238144E+17</v>
      </c>
      <c r="H197" s="26">
        <f>'1BASE'!F197</f>
        <v>4.5</v>
      </c>
      <c r="I197" s="24">
        <f>'1BASE'!G197</f>
        <v>0</v>
      </c>
      <c r="J197" s="24">
        <f>'1BASE'!H197</f>
        <v>0</v>
      </c>
      <c r="K197" s="24"/>
      <c r="L197" s="24"/>
      <c r="M197" s="24"/>
      <c r="N197" s="24"/>
      <c r="O197" s="24"/>
      <c r="P197" s="24"/>
      <c r="Q197" s="24"/>
      <c r="R197" s="24"/>
      <c r="S197" s="5"/>
      <c r="T197" s="5"/>
      <c r="U197" s="1" t="s">
        <v>96</v>
      </c>
      <c r="V197" s="11">
        <v>0.05</v>
      </c>
      <c r="W197" s="1">
        <f>+INICIO!$C$34</f>
        <v>2014</v>
      </c>
      <c r="X197" s="1" t="str">
        <f>+INICIO!$B$32</f>
        <v>LATIFOLIADO</v>
      </c>
      <c r="Y197" s="50" t="str">
        <f t="shared" si="25"/>
        <v>DEJAR</v>
      </c>
      <c r="Z197" s="50" t="str">
        <f t="shared" si="26"/>
        <v>DEJAR</v>
      </c>
      <c r="AA197" s="50" t="str">
        <f t="shared" si="27"/>
        <v>DEJAR</v>
      </c>
      <c r="AB197" s="50" t="str">
        <f t="shared" si="28"/>
        <v>DEJAR</v>
      </c>
      <c r="AC197" s="52">
        <f t="shared" si="29"/>
        <v>4.9087385212340517E-2</v>
      </c>
      <c r="AD197" s="52">
        <f t="shared" si="30"/>
        <v>0.98174770424681035</v>
      </c>
      <c r="AE197" s="52">
        <f>+IF(X197=INICIO!$B$31,0.15991*D197^2.32764,AND(X197=INICIO!$B$32)*0.13657*D197^2.38351)</f>
        <v>293.3319028192812</v>
      </c>
      <c r="AF197" s="52">
        <f t="shared" si="31"/>
        <v>5866.6380563856237</v>
      </c>
      <c r="AG197" s="52">
        <f>+AE197/1000*INICIO!$D$50</f>
        <v>0.13786599432506214</v>
      </c>
      <c r="AH197" s="52">
        <f>+AF197/1000*INICIO!$D$50</f>
        <v>2.7573198865012429</v>
      </c>
      <c r="AI197" s="55">
        <f>+IF(X197=INICIO!$B$31,IF(D197&lt;=82,0.15991*D197^2.32764, 0.15991*82^2.32764),AND(X197=INICIO!$B$32)*IF(D197&lt;=79.9,0.13657*D197^2.38351,0.13657*79.9^2.38351))</f>
        <v>293.3319028192812</v>
      </c>
      <c r="AJ197" s="56">
        <f t="shared" si="32"/>
        <v>5866.6380563856237</v>
      </c>
      <c r="AK197" s="56">
        <f>+AI197/1000*INICIO!$D$50</f>
        <v>0.13786599432506214</v>
      </c>
      <c r="AL197" s="56">
        <f>+AJ197/1000*INICIO!$D$50</f>
        <v>2.7573198865012429</v>
      </c>
      <c r="AM197" s="57" t="str">
        <f>+INICIO!$C$30</f>
        <v>UVG_B_Kg</v>
      </c>
    </row>
    <row r="198" spans="1:39" ht="15" x14ac:dyDescent="0.25">
      <c r="A198" s="24">
        <v>15</v>
      </c>
      <c r="B198" s="25">
        <f>'1BASE'!A198</f>
        <v>1</v>
      </c>
      <c r="C198" s="24" t="str">
        <f>'1BASE'!B198</f>
        <v>Amapola</v>
      </c>
      <c r="D198" s="26">
        <f>'1BASE'!C198</f>
        <v>55</v>
      </c>
      <c r="E198" s="27">
        <f>'1BASE'!D198</f>
        <v>90</v>
      </c>
      <c r="F198" s="27">
        <f>'1BASE'!E198</f>
        <v>110</v>
      </c>
      <c r="G198" s="32">
        <f t="shared" si="24"/>
        <v>3.2649104555238138E+17</v>
      </c>
      <c r="H198" s="26">
        <f>'1BASE'!F198</f>
        <v>4</v>
      </c>
      <c r="I198" s="22" t="str">
        <f>'1BASE'!G198</f>
        <v>X</v>
      </c>
      <c r="J198" s="22" t="str">
        <f>'1BASE'!H198</f>
        <v>Y</v>
      </c>
      <c r="K198" s="24"/>
      <c r="L198" s="24"/>
      <c r="M198" s="24"/>
      <c r="N198" s="24"/>
      <c r="O198" s="24"/>
      <c r="P198" s="24"/>
      <c r="Q198" s="24"/>
      <c r="R198" s="24"/>
      <c r="S198" s="5"/>
      <c r="T198" s="5"/>
      <c r="U198" s="1" t="s">
        <v>96</v>
      </c>
      <c r="V198" s="11">
        <v>0.05</v>
      </c>
      <c r="W198" s="1">
        <f>+INICIO!$C$34</f>
        <v>2014</v>
      </c>
      <c r="X198" s="1" t="str">
        <f>+INICIO!$B$32</f>
        <v>LATIFOLIADO</v>
      </c>
      <c r="Y198" s="50" t="str">
        <f t="shared" si="25"/>
        <v>DEJAR</v>
      </c>
      <c r="Z198" s="50" t="str">
        <f t="shared" si="26"/>
        <v>DEJAR</v>
      </c>
      <c r="AA198" s="50" t="str">
        <f t="shared" si="27"/>
        <v>DEJAR</v>
      </c>
      <c r="AB198" s="50" t="str">
        <f t="shared" si="28"/>
        <v>DEJAR</v>
      </c>
      <c r="AC198" s="52">
        <f t="shared" si="29"/>
        <v>0.23758294442772815</v>
      </c>
      <c r="AD198" s="52">
        <f t="shared" si="30"/>
        <v>4.7516588885545623</v>
      </c>
      <c r="AE198" s="52">
        <f>+IF(X198=INICIO!$B$31,0.15991*D198^2.32764,AND(X198=INICIO!$B$32)*0.13657*D198^2.38351)</f>
        <v>1920.9991975467647</v>
      </c>
      <c r="AF198" s="52">
        <f t="shared" si="31"/>
        <v>38419.98395093529</v>
      </c>
      <c r="AG198" s="52">
        <f>+AE198/1000*INICIO!$D$50</f>
        <v>0.90286962284697936</v>
      </c>
      <c r="AH198" s="52">
        <f>+AF198/1000*INICIO!$D$50</f>
        <v>18.057392456939585</v>
      </c>
      <c r="AI198" s="55">
        <f>+IF(X198=INICIO!$B$31,IF(D198&lt;=82,0.15991*D198^2.32764, 0.15991*82^2.32764),AND(X198=INICIO!$B$32)*IF(D198&lt;=79.9,0.13657*D198^2.38351,0.13657*79.9^2.38351))</f>
        <v>1920.9991975467647</v>
      </c>
      <c r="AJ198" s="56">
        <f t="shared" si="32"/>
        <v>38419.98395093529</v>
      </c>
      <c r="AK198" s="56">
        <f>+AI198/1000*INICIO!$D$50</f>
        <v>0.90286962284697936</v>
      </c>
      <c r="AL198" s="56">
        <f>+AJ198/1000*INICIO!$D$50</f>
        <v>18.057392456939585</v>
      </c>
      <c r="AM198" s="57" t="str">
        <f>+INICIO!$C$30</f>
        <v>UVG_B_Kg</v>
      </c>
    </row>
    <row r="199" spans="1:39" ht="15" x14ac:dyDescent="0.25">
      <c r="A199" s="24">
        <v>15</v>
      </c>
      <c r="B199" s="25">
        <f>'1BASE'!A199</f>
        <v>2</v>
      </c>
      <c r="C199" s="24" t="str">
        <f>'1BASE'!B199</f>
        <v>Zapote</v>
      </c>
      <c r="D199" s="26">
        <f>'1BASE'!C199</f>
        <v>35</v>
      </c>
      <c r="E199" s="27">
        <f>'1BASE'!D199</f>
        <v>90</v>
      </c>
      <c r="F199" s="27">
        <f>'1BASE'!E199</f>
        <v>70</v>
      </c>
      <c r="G199" s="32">
        <f t="shared" si="24"/>
        <v>3.264910455523815E+17</v>
      </c>
      <c r="H199" s="26">
        <f>'1BASE'!F199</f>
        <v>2</v>
      </c>
      <c r="I199" s="22" t="str">
        <f>'1BASE'!G199</f>
        <v>88° 38' 41''</v>
      </c>
      <c r="J199" s="22" t="str">
        <f>'1BASE'!H199</f>
        <v>15° 41' 0.8''</v>
      </c>
      <c r="K199" s="24" t="str">
        <f>LEFT(I199,2)</f>
        <v>88</v>
      </c>
      <c r="L199" s="24" t="str">
        <f>+LEFT(RIGHT(I199,9),3)</f>
        <v xml:space="preserve"> 38</v>
      </c>
      <c r="M199" s="24" t="str">
        <f>+LEFT(RIGHT(I199,5),3)</f>
        <v xml:space="preserve"> 41</v>
      </c>
      <c r="N199" s="24">
        <f>(K199+((L199+(M199/60)/60)/60))*-1</f>
        <v>-88.633523148148143</v>
      </c>
      <c r="O199" s="24" t="str">
        <f>LEFT(J199,2)</f>
        <v>15</v>
      </c>
      <c r="P199" s="24" t="str">
        <f>+LEFT(RIGHT(J199,9),2)</f>
        <v>41</v>
      </c>
      <c r="Q199" s="24" t="str">
        <f>+LEFT(RIGHT(J199,6),4)</f>
        <v xml:space="preserve"> 0.8</v>
      </c>
      <c r="R199" s="24">
        <f>O199+((P199+(Q199/60)/60)/60)</f>
        <v>15.683337037037036</v>
      </c>
      <c r="S199" s="11">
        <v>700079.21360200003</v>
      </c>
      <c r="T199" s="11">
        <v>1735136.4918899999</v>
      </c>
      <c r="U199" s="1" t="s">
        <v>96</v>
      </c>
      <c r="V199" s="11">
        <v>0.05</v>
      </c>
      <c r="W199" s="1">
        <f>+INICIO!$C$34</f>
        <v>2014</v>
      </c>
      <c r="X199" s="1" t="str">
        <f>+INICIO!$B$32</f>
        <v>LATIFOLIADO</v>
      </c>
      <c r="Y199" s="50" t="str">
        <f t="shared" si="25"/>
        <v>DEJAR</v>
      </c>
      <c r="Z199" s="50" t="str">
        <f t="shared" si="26"/>
        <v>DEJAR</v>
      </c>
      <c r="AA199" s="50" t="str">
        <f t="shared" si="27"/>
        <v>DEJAR</v>
      </c>
      <c r="AB199" s="50" t="str">
        <f t="shared" si="28"/>
        <v>DEJAR</v>
      </c>
      <c r="AC199" s="52">
        <f t="shared" si="29"/>
        <v>9.6211275016187398E-2</v>
      </c>
      <c r="AD199" s="52">
        <f t="shared" si="30"/>
        <v>1.9242255003237478</v>
      </c>
      <c r="AE199" s="52">
        <f>+IF(X199=INICIO!$B$31,0.15991*D199^2.32764,AND(X199=INICIO!$B$32)*0.13657*D199^2.38351)</f>
        <v>654.11925553640299</v>
      </c>
      <c r="AF199" s="52">
        <f t="shared" si="31"/>
        <v>13082.385110728059</v>
      </c>
      <c r="AG199" s="52">
        <f>+AE199/1000*INICIO!$D$50</f>
        <v>0.30743605010210939</v>
      </c>
      <c r="AH199" s="52">
        <f>+AF199/1000*INICIO!$D$50</f>
        <v>6.148721002042187</v>
      </c>
      <c r="AI199" s="55">
        <f>+IF(X199=INICIO!$B$31,IF(D199&lt;=82,0.15991*D199^2.32764, 0.15991*82^2.32764),AND(X199=INICIO!$B$32)*IF(D199&lt;=79.9,0.13657*D199^2.38351,0.13657*79.9^2.38351))</f>
        <v>654.11925553640299</v>
      </c>
      <c r="AJ199" s="56">
        <f t="shared" si="32"/>
        <v>13082.385110728059</v>
      </c>
      <c r="AK199" s="56">
        <f>+AI199/1000*INICIO!$D$50</f>
        <v>0.30743605010210939</v>
      </c>
      <c r="AL199" s="56">
        <f>+AJ199/1000*INICIO!$D$50</f>
        <v>6.148721002042187</v>
      </c>
      <c r="AM199" s="57" t="str">
        <f>+INICIO!$C$30</f>
        <v>UVG_B_Kg</v>
      </c>
    </row>
    <row r="200" spans="1:39" ht="15" x14ac:dyDescent="0.25">
      <c r="A200" s="24">
        <v>15</v>
      </c>
      <c r="B200" s="25">
        <f>'1BASE'!A200</f>
        <v>3</v>
      </c>
      <c r="C200" s="24" t="str">
        <f>'1BASE'!B200</f>
        <v>Guarumo</v>
      </c>
      <c r="D200" s="26">
        <f>'1BASE'!C200</f>
        <v>30</v>
      </c>
      <c r="E200" s="27">
        <f>'1BASE'!D200</f>
        <v>90</v>
      </c>
      <c r="F200" s="27">
        <f>'1BASE'!E200</f>
        <v>30</v>
      </c>
      <c r="G200" s="32">
        <f t="shared" si="24"/>
        <v>3.2649104555238144E+17</v>
      </c>
      <c r="H200" s="26">
        <f>'1BASE'!F200</f>
        <v>1</v>
      </c>
      <c r="I200" s="24">
        <f>'1BASE'!G200</f>
        <v>0</v>
      </c>
      <c r="J200" s="24">
        <f>'1BASE'!H200</f>
        <v>0</v>
      </c>
      <c r="K200" s="24"/>
      <c r="L200" s="24"/>
      <c r="M200" s="24"/>
      <c r="N200" s="24"/>
      <c r="O200" s="24"/>
      <c r="P200" s="24"/>
      <c r="Q200" s="24"/>
      <c r="R200" s="24"/>
      <c r="S200" s="5"/>
      <c r="T200" s="5"/>
      <c r="U200" s="1" t="s">
        <v>96</v>
      </c>
      <c r="V200" s="11">
        <v>0.05</v>
      </c>
      <c r="W200" s="1">
        <f>+INICIO!$C$34</f>
        <v>2014</v>
      </c>
      <c r="X200" s="1" t="str">
        <f>+INICIO!$B$32</f>
        <v>LATIFOLIADO</v>
      </c>
      <c r="Y200" s="50" t="str">
        <f t="shared" si="25"/>
        <v>DEJAR</v>
      </c>
      <c r="Z200" s="50" t="str">
        <f t="shared" si="26"/>
        <v>DEJAR</v>
      </c>
      <c r="AA200" s="50" t="str">
        <f t="shared" si="27"/>
        <v>DEJAR</v>
      </c>
      <c r="AB200" s="50" t="str">
        <f t="shared" si="28"/>
        <v>DEJAR</v>
      </c>
      <c r="AC200" s="52">
        <f t="shared" si="29"/>
        <v>7.0685834705770348E-2</v>
      </c>
      <c r="AD200" s="52">
        <f t="shared" si="30"/>
        <v>1.4137166941154069</v>
      </c>
      <c r="AE200" s="52">
        <f>+IF(X200=INICIO!$B$31,0.15991*D200^2.32764,AND(X200=INICIO!$B$32)*0.13657*D200^2.38351)</f>
        <v>452.98997539791907</v>
      </c>
      <c r="AF200" s="52">
        <f t="shared" si="31"/>
        <v>9059.7995079583816</v>
      </c>
      <c r="AG200" s="52">
        <f>+AE200/1000*INICIO!$D$50</f>
        <v>0.21290528843702194</v>
      </c>
      <c r="AH200" s="52">
        <f>+AF200/1000*INICIO!$D$50</f>
        <v>4.2581057687404389</v>
      </c>
      <c r="AI200" s="55">
        <f>+IF(X200=INICIO!$B$31,IF(D200&lt;=82,0.15991*D200^2.32764, 0.15991*82^2.32764),AND(X200=INICIO!$B$32)*IF(D200&lt;=79.9,0.13657*D200^2.38351,0.13657*79.9^2.38351))</f>
        <v>452.98997539791907</v>
      </c>
      <c r="AJ200" s="56">
        <f t="shared" si="32"/>
        <v>9059.7995079583816</v>
      </c>
      <c r="AK200" s="56">
        <f>+AI200/1000*INICIO!$D$50</f>
        <v>0.21290528843702194</v>
      </c>
      <c r="AL200" s="56">
        <f>+AJ200/1000*INICIO!$D$50</f>
        <v>4.2581057687404389</v>
      </c>
      <c r="AM200" s="57" t="str">
        <f>+INICIO!$C$30</f>
        <v>UVG_B_Kg</v>
      </c>
    </row>
    <row r="201" spans="1:39" ht="15" x14ac:dyDescent="0.25">
      <c r="A201" s="24">
        <v>15</v>
      </c>
      <c r="B201" s="25">
        <f>'1BASE'!A201</f>
        <v>4</v>
      </c>
      <c r="C201" s="27">
        <f>'1BASE'!B201</f>
        <v>0</v>
      </c>
      <c r="D201" s="26">
        <f>'1BASE'!C201</f>
        <v>12</v>
      </c>
      <c r="E201" s="27">
        <f>'1BASE'!D201</f>
        <v>10</v>
      </c>
      <c r="F201" s="27">
        <f>'1BASE'!E201</f>
        <v>20</v>
      </c>
      <c r="G201" s="27">
        <f t="shared" si="24"/>
        <v>10.805944299493346</v>
      </c>
      <c r="H201" s="26">
        <f>'1BASE'!F201</f>
        <v>1</v>
      </c>
      <c r="I201" s="24">
        <f>'1BASE'!G201</f>
        <v>0</v>
      </c>
      <c r="J201" s="24">
        <f>'1BASE'!H201</f>
        <v>0</v>
      </c>
      <c r="K201" s="24"/>
      <c r="L201" s="24"/>
      <c r="M201" s="24"/>
      <c r="N201" s="24"/>
      <c r="O201" s="24"/>
      <c r="P201" s="24"/>
      <c r="Q201" s="24"/>
      <c r="R201" s="24"/>
      <c r="S201" s="5"/>
      <c r="T201" s="5"/>
      <c r="U201" s="1" t="s">
        <v>96</v>
      </c>
      <c r="V201" s="11">
        <v>0.05</v>
      </c>
      <c r="W201" s="1">
        <f>+INICIO!$C$34</f>
        <v>2014</v>
      </c>
      <c r="X201" s="1" t="str">
        <f>+INICIO!$B$32</f>
        <v>LATIFOLIADO</v>
      </c>
      <c r="Y201" s="50" t="str">
        <f t="shared" si="25"/>
        <v>DEJAR</v>
      </c>
      <c r="Z201" s="50" t="str">
        <f t="shared" si="26"/>
        <v>DEJAR</v>
      </c>
      <c r="AA201" s="50" t="str">
        <f t="shared" si="27"/>
        <v>DEJAR</v>
      </c>
      <c r="AB201" s="50" t="str">
        <f t="shared" si="28"/>
        <v>DEJAR</v>
      </c>
      <c r="AC201" s="52">
        <f t="shared" si="29"/>
        <v>1.1309733552923255E-2</v>
      </c>
      <c r="AD201" s="52">
        <f t="shared" si="30"/>
        <v>0.22619467105846508</v>
      </c>
      <c r="AE201" s="52">
        <f>+IF(X201=INICIO!$B$31,0.15991*D201^2.32764,AND(X201=INICIO!$B$32)*0.13657*D201^2.38351)</f>
        <v>51.002868362482175</v>
      </c>
      <c r="AF201" s="52">
        <f t="shared" si="31"/>
        <v>1020.0573672496434</v>
      </c>
      <c r="AG201" s="52">
        <f>+AE201/1000*INICIO!$D$50</f>
        <v>2.397134813036662E-2</v>
      </c>
      <c r="AH201" s="52">
        <f>+AF201/1000*INICIO!$D$50</f>
        <v>0.47942696260733236</v>
      </c>
      <c r="AI201" s="55">
        <f>+IF(X201=INICIO!$B$31,IF(D201&lt;=82,0.15991*D201^2.32764, 0.15991*82^2.32764),AND(X201=INICIO!$B$32)*IF(D201&lt;=79.9,0.13657*D201^2.38351,0.13657*79.9^2.38351))</f>
        <v>51.002868362482175</v>
      </c>
      <c r="AJ201" s="56">
        <f t="shared" si="32"/>
        <v>1020.0573672496434</v>
      </c>
      <c r="AK201" s="56">
        <f>+AI201/1000*INICIO!$D$50</f>
        <v>2.397134813036662E-2</v>
      </c>
      <c r="AL201" s="56">
        <f>+AJ201/1000*INICIO!$D$50</f>
        <v>0.47942696260733236</v>
      </c>
      <c r="AM201" s="57" t="str">
        <f>+INICIO!$C$30</f>
        <v>UVG_B_Kg</v>
      </c>
    </row>
    <row r="202" spans="1:39" ht="15" x14ac:dyDescent="0.25">
      <c r="A202" s="24">
        <v>15</v>
      </c>
      <c r="B202" s="25">
        <f>'1BASE'!A202</f>
        <v>5</v>
      </c>
      <c r="C202" s="24">
        <f>'1BASE'!B202</f>
        <v>0</v>
      </c>
      <c r="D202" s="26">
        <f>'1BASE'!C202</f>
        <v>45</v>
      </c>
      <c r="E202" s="27">
        <f>'1BASE'!D202</f>
        <v>110</v>
      </c>
      <c r="F202" s="27">
        <f>'1BASE'!E202</f>
        <v>60</v>
      </c>
      <c r="G202" s="32">
        <f t="shared" si="24"/>
        <v>-20.308532237714914</v>
      </c>
      <c r="H202" s="26">
        <f>'1BASE'!F202</f>
        <v>3</v>
      </c>
      <c r="I202" s="24">
        <f>'1BASE'!G202</f>
        <v>0</v>
      </c>
      <c r="J202" s="24">
        <f>'1BASE'!H202</f>
        <v>0</v>
      </c>
      <c r="K202" s="24"/>
      <c r="L202" s="24"/>
      <c r="M202" s="24"/>
      <c r="N202" s="24"/>
      <c r="O202" s="24"/>
      <c r="P202" s="24"/>
      <c r="Q202" s="24"/>
      <c r="R202" s="24"/>
      <c r="S202" s="5"/>
      <c r="T202" s="5"/>
      <c r="U202" s="1" t="s">
        <v>96</v>
      </c>
      <c r="V202" s="11">
        <v>0.05</v>
      </c>
      <c r="W202" s="1">
        <f>+INICIO!$C$34</f>
        <v>2014</v>
      </c>
      <c r="X202" s="1" t="str">
        <f>+INICIO!$B$32</f>
        <v>LATIFOLIADO</v>
      </c>
      <c r="Y202" s="50" t="str">
        <f t="shared" si="25"/>
        <v>DEJAR</v>
      </c>
      <c r="Z202" s="50" t="str">
        <f t="shared" si="26"/>
        <v>DEJAR</v>
      </c>
      <c r="AA202" s="50" t="str">
        <f t="shared" si="27"/>
        <v>DEJAR</v>
      </c>
      <c r="AB202" s="50" t="str">
        <f t="shared" si="28"/>
        <v>DEJAR</v>
      </c>
      <c r="AC202" s="52">
        <f t="shared" si="29"/>
        <v>0.15904312808798329</v>
      </c>
      <c r="AD202" s="52">
        <f t="shared" si="30"/>
        <v>3.1808625617596658</v>
      </c>
      <c r="AE202" s="52">
        <f>+IF(X202=INICIO!$B$31,0.15991*D202^2.32764,AND(X202=INICIO!$B$32)*0.13657*D202^2.38351)</f>
        <v>1190.7041522680991</v>
      </c>
      <c r="AF202" s="52">
        <f t="shared" si="31"/>
        <v>23814.083045361978</v>
      </c>
      <c r="AG202" s="52">
        <f>+AE202/1000*INICIO!$D$50</f>
        <v>0.55963095156600651</v>
      </c>
      <c r="AH202" s="52">
        <f>+AF202/1000*INICIO!$D$50</f>
        <v>11.192619031320129</v>
      </c>
      <c r="AI202" s="55">
        <f>+IF(X202=INICIO!$B$31,IF(D202&lt;=82,0.15991*D202^2.32764, 0.15991*82^2.32764),AND(X202=INICIO!$B$32)*IF(D202&lt;=79.9,0.13657*D202^2.38351,0.13657*79.9^2.38351))</f>
        <v>1190.7041522680991</v>
      </c>
      <c r="AJ202" s="56">
        <f t="shared" si="32"/>
        <v>23814.083045361978</v>
      </c>
      <c r="AK202" s="56">
        <f>+AI202/1000*INICIO!$D$50</f>
        <v>0.55963095156600651</v>
      </c>
      <c r="AL202" s="56">
        <f>+AJ202/1000*INICIO!$D$50</f>
        <v>11.192619031320129</v>
      </c>
      <c r="AM202" s="57" t="str">
        <f>+INICIO!$C$30</f>
        <v>UVG_B_Kg</v>
      </c>
    </row>
    <row r="203" spans="1:39" ht="15" x14ac:dyDescent="0.25">
      <c r="A203" s="24">
        <v>16</v>
      </c>
      <c r="B203" s="25">
        <f>'1BASE'!A203</f>
        <v>1</v>
      </c>
      <c r="C203" s="24">
        <f>'1BASE'!B203</f>
        <v>0</v>
      </c>
      <c r="D203" s="26">
        <f>'1BASE'!C203</f>
        <v>45</v>
      </c>
      <c r="E203" s="27">
        <f>'1BASE'!D203</f>
        <v>80</v>
      </c>
      <c r="F203" s="27">
        <f>'1BASE'!E203</f>
        <v>120</v>
      </c>
      <c r="G203" s="27">
        <f t="shared" si="24"/>
        <v>78.784620240976579</v>
      </c>
      <c r="H203" s="26">
        <f>'1BASE'!F203</f>
        <v>3</v>
      </c>
      <c r="I203" s="22" t="str">
        <f>'1BASE'!G203</f>
        <v>X</v>
      </c>
      <c r="J203" s="22" t="str">
        <f>'1BASE'!H203</f>
        <v>Y</v>
      </c>
      <c r="K203" s="24"/>
      <c r="L203" s="24"/>
      <c r="M203" s="24"/>
      <c r="N203" s="24"/>
      <c r="O203" s="24"/>
      <c r="P203" s="24"/>
      <c r="Q203" s="24"/>
      <c r="R203" s="24"/>
      <c r="S203" s="5"/>
      <c r="T203" s="5"/>
      <c r="U203" s="1" t="s">
        <v>96</v>
      </c>
      <c r="V203" s="11">
        <v>0.05</v>
      </c>
      <c r="W203" s="1">
        <f>+INICIO!$C$34</f>
        <v>2014</v>
      </c>
      <c r="X203" s="1" t="str">
        <f>+INICIO!$B$32</f>
        <v>LATIFOLIADO</v>
      </c>
      <c r="Y203" s="50" t="str">
        <f t="shared" si="25"/>
        <v>DEJAR</v>
      </c>
      <c r="Z203" s="50" t="str">
        <f t="shared" si="26"/>
        <v>DEJAR</v>
      </c>
      <c r="AA203" s="50" t="str">
        <f t="shared" si="27"/>
        <v>DEJAR</v>
      </c>
      <c r="AB203" s="50" t="str">
        <f t="shared" si="28"/>
        <v>DEJAR</v>
      </c>
      <c r="AC203" s="52">
        <f t="shared" si="29"/>
        <v>0.15904312808798329</v>
      </c>
      <c r="AD203" s="52">
        <f t="shared" si="30"/>
        <v>3.1808625617596658</v>
      </c>
      <c r="AE203" s="52">
        <f>+IF(X203=INICIO!$B$31,0.15991*D203^2.32764,AND(X203=INICIO!$B$32)*0.13657*D203^2.38351)</f>
        <v>1190.7041522680991</v>
      </c>
      <c r="AF203" s="52">
        <f t="shared" si="31"/>
        <v>23814.083045361978</v>
      </c>
      <c r="AG203" s="52">
        <f>+AE203/1000*INICIO!$D$50</f>
        <v>0.55963095156600651</v>
      </c>
      <c r="AH203" s="52">
        <f>+AF203/1000*INICIO!$D$50</f>
        <v>11.192619031320129</v>
      </c>
      <c r="AI203" s="55">
        <f>+IF(X203=INICIO!$B$31,IF(D203&lt;=82,0.15991*D203^2.32764, 0.15991*82^2.32764),AND(X203=INICIO!$B$32)*IF(D203&lt;=79.9,0.13657*D203^2.38351,0.13657*79.9^2.38351))</f>
        <v>1190.7041522680991</v>
      </c>
      <c r="AJ203" s="56">
        <f t="shared" si="32"/>
        <v>23814.083045361978</v>
      </c>
      <c r="AK203" s="56">
        <f>+AI203/1000*INICIO!$D$50</f>
        <v>0.55963095156600651</v>
      </c>
      <c r="AL203" s="56">
        <f>+AJ203/1000*INICIO!$D$50</f>
        <v>11.192619031320129</v>
      </c>
      <c r="AM203" s="57" t="str">
        <f>+INICIO!$C$30</f>
        <v>UVG_B_Kg</v>
      </c>
    </row>
    <row r="204" spans="1:39" ht="15" x14ac:dyDescent="0.25">
      <c r="A204" s="24">
        <v>16</v>
      </c>
      <c r="B204" s="25">
        <f>'1BASE'!A204</f>
        <v>2</v>
      </c>
      <c r="C204" s="24">
        <f>'1BASE'!B204</f>
        <v>0</v>
      </c>
      <c r="D204" s="26">
        <f>'1BASE'!C204</f>
        <v>30</v>
      </c>
      <c r="E204" s="27">
        <f>'1BASE'!D204</f>
        <v>90</v>
      </c>
      <c r="F204" s="27">
        <f>'1BASE'!E204</f>
        <v>70</v>
      </c>
      <c r="G204" s="32">
        <f t="shared" si="24"/>
        <v>3.264910455523815E+17</v>
      </c>
      <c r="H204" s="26">
        <f>'1BASE'!F204</f>
        <v>3</v>
      </c>
      <c r="I204" s="22" t="str">
        <f>'1BASE'!G204</f>
        <v>88° 38' 43''</v>
      </c>
      <c r="J204" s="22" t="str">
        <f>'1BASE'!H204</f>
        <v>15° 41' 6.5''</v>
      </c>
      <c r="K204" s="24" t="str">
        <f>LEFT(I204,2)</f>
        <v>88</v>
      </c>
      <c r="L204" s="24" t="str">
        <f>+LEFT(RIGHT(I204,9),3)</f>
        <v xml:space="preserve"> 38</v>
      </c>
      <c r="M204" s="24" t="str">
        <f>+LEFT(RIGHT(I204,5),3)</f>
        <v xml:space="preserve"> 43</v>
      </c>
      <c r="N204" s="24">
        <f>(K204+((L204+(M204/60)/60)/60))*-1</f>
        <v>-88.633532407407401</v>
      </c>
      <c r="O204" s="24" t="str">
        <f>LEFT(J204,2)</f>
        <v>15</v>
      </c>
      <c r="P204" s="24" t="str">
        <f>+LEFT(RIGHT(J204,9),2)</f>
        <v>41</v>
      </c>
      <c r="Q204" s="24" t="str">
        <f>+LEFT(RIGHT(J204,6),4)</f>
        <v xml:space="preserve"> 6.5</v>
      </c>
      <c r="R204" s="24">
        <f>O204+((P204+(Q204/60)/60)/60)</f>
        <v>15.683363425925926</v>
      </c>
      <c r="S204" s="11">
        <v>700078.19501200004</v>
      </c>
      <c r="T204" s="11">
        <v>1735139.4039700001</v>
      </c>
      <c r="U204" s="1" t="s">
        <v>96</v>
      </c>
      <c r="V204" s="11">
        <v>0.05</v>
      </c>
      <c r="W204" s="1">
        <f>+INICIO!$C$34</f>
        <v>2014</v>
      </c>
      <c r="X204" s="1" t="str">
        <f>+INICIO!$B$32</f>
        <v>LATIFOLIADO</v>
      </c>
      <c r="Y204" s="50" t="str">
        <f t="shared" si="25"/>
        <v>DEJAR</v>
      </c>
      <c r="Z204" s="50" t="str">
        <f t="shared" si="26"/>
        <v>DEJAR</v>
      </c>
      <c r="AA204" s="50" t="str">
        <f t="shared" si="27"/>
        <v>DEJAR</v>
      </c>
      <c r="AB204" s="50" t="str">
        <f t="shared" si="28"/>
        <v>DEJAR</v>
      </c>
      <c r="AC204" s="52">
        <f t="shared" si="29"/>
        <v>7.0685834705770348E-2</v>
      </c>
      <c r="AD204" s="52">
        <f t="shared" si="30"/>
        <v>1.4137166941154069</v>
      </c>
      <c r="AE204" s="52">
        <f>+IF(X204=INICIO!$B$31,0.15991*D204^2.32764,AND(X204=INICIO!$B$32)*0.13657*D204^2.38351)</f>
        <v>452.98997539791907</v>
      </c>
      <c r="AF204" s="52">
        <f t="shared" si="31"/>
        <v>9059.7995079583816</v>
      </c>
      <c r="AG204" s="52">
        <f>+AE204/1000*INICIO!$D$50</f>
        <v>0.21290528843702194</v>
      </c>
      <c r="AH204" s="52">
        <f>+AF204/1000*INICIO!$D$50</f>
        <v>4.2581057687404389</v>
      </c>
      <c r="AI204" s="55">
        <f>+IF(X204=INICIO!$B$31,IF(D204&lt;=82,0.15991*D204^2.32764, 0.15991*82^2.32764),AND(X204=INICIO!$B$32)*IF(D204&lt;=79.9,0.13657*D204^2.38351,0.13657*79.9^2.38351))</f>
        <v>452.98997539791907</v>
      </c>
      <c r="AJ204" s="56">
        <f t="shared" si="32"/>
        <v>9059.7995079583816</v>
      </c>
      <c r="AK204" s="56">
        <f>+AI204/1000*INICIO!$D$50</f>
        <v>0.21290528843702194</v>
      </c>
      <c r="AL204" s="56">
        <f>+AJ204/1000*INICIO!$D$50</f>
        <v>4.2581057687404389</v>
      </c>
      <c r="AM204" s="57" t="str">
        <f>+INICIO!$C$30</f>
        <v>UVG_B_Kg</v>
      </c>
    </row>
    <row r="205" spans="1:39" ht="15" x14ac:dyDescent="0.25">
      <c r="A205" s="24">
        <v>16</v>
      </c>
      <c r="B205" s="25">
        <f>'1BASE'!A205</f>
        <v>3</v>
      </c>
      <c r="C205" s="24">
        <f>'1BASE'!B205</f>
        <v>0</v>
      </c>
      <c r="D205" s="26">
        <f>'1BASE'!C205</f>
        <v>28</v>
      </c>
      <c r="E205" s="27">
        <f>'1BASE'!D205</f>
        <v>70</v>
      </c>
      <c r="F205" s="27">
        <f>'1BASE'!E205</f>
        <v>90</v>
      </c>
      <c r="G205" s="32">
        <f t="shared" si="24"/>
        <v>3.264910455523815E+17</v>
      </c>
      <c r="H205" s="26">
        <f>'1BASE'!F205</f>
        <v>3</v>
      </c>
      <c r="I205" s="24">
        <f>'1BASE'!G205</f>
        <v>0</v>
      </c>
      <c r="J205" s="24">
        <f>'1BASE'!H205</f>
        <v>0</v>
      </c>
      <c r="K205" s="24"/>
      <c r="L205" s="24"/>
      <c r="M205" s="24"/>
      <c r="N205" s="24"/>
      <c r="O205" s="24"/>
      <c r="P205" s="24"/>
      <c r="Q205" s="24"/>
      <c r="R205" s="24"/>
      <c r="S205" s="5"/>
      <c r="T205" s="5"/>
      <c r="U205" s="1" t="s">
        <v>96</v>
      </c>
      <c r="V205" s="11">
        <v>0.05</v>
      </c>
      <c r="W205" s="1">
        <f>+INICIO!$C$34</f>
        <v>2014</v>
      </c>
      <c r="X205" s="1" t="str">
        <f>+INICIO!$B$32</f>
        <v>LATIFOLIADO</v>
      </c>
      <c r="Y205" s="50" t="str">
        <f t="shared" si="25"/>
        <v>DEJAR</v>
      </c>
      <c r="Z205" s="50" t="str">
        <f t="shared" si="26"/>
        <v>DEJAR</v>
      </c>
      <c r="AA205" s="50" t="str">
        <f t="shared" si="27"/>
        <v>DEJAR</v>
      </c>
      <c r="AB205" s="50" t="str">
        <f t="shared" si="28"/>
        <v>DEJAR</v>
      </c>
      <c r="AC205" s="52">
        <f t="shared" si="29"/>
        <v>6.1575216010359951E-2</v>
      </c>
      <c r="AD205" s="52">
        <f t="shared" si="30"/>
        <v>1.2315043202071989</v>
      </c>
      <c r="AE205" s="52">
        <f>+IF(X205=INICIO!$B$31,0.15991*D205^2.32764,AND(X205=INICIO!$B$32)*0.13657*D205^2.38351)</f>
        <v>384.30049927715726</v>
      </c>
      <c r="AF205" s="52">
        <f t="shared" si="31"/>
        <v>7686.0099855431445</v>
      </c>
      <c r="AG205" s="52">
        <f>+AE205/1000*INICIO!$D$50</f>
        <v>0.18062123466026389</v>
      </c>
      <c r="AH205" s="52">
        <f>+AF205/1000*INICIO!$D$50</f>
        <v>3.6124246932052775</v>
      </c>
      <c r="AI205" s="55">
        <f>+IF(X205=INICIO!$B$31,IF(D205&lt;=82,0.15991*D205^2.32764, 0.15991*82^2.32764),AND(X205=INICIO!$B$32)*IF(D205&lt;=79.9,0.13657*D205^2.38351,0.13657*79.9^2.38351))</f>
        <v>384.30049927715726</v>
      </c>
      <c r="AJ205" s="56">
        <f t="shared" si="32"/>
        <v>7686.0099855431445</v>
      </c>
      <c r="AK205" s="56">
        <f>+AI205/1000*INICIO!$D$50</f>
        <v>0.18062123466026389</v>
      </c>
      <c r="AL205" s="56">
        <f>+AJ205/1000*INICIO!$D$50</f>
        <v>3.6124246932052775</v>
      </c>
      <c r="AM205" s="57" t="str">
        <f>+INICIO!$C$30</f>
        <v>UVG_B_Kg</v>
      </c>
    </row>
    <row r="206" spans="1:39" ht="15" x14ac:dyDescent="0.25">
      <c r="A206" s="24">
        <v>16</v>
      </c>
      <c r="B206" s="25">
        <f>'1BASE'!A206</f>
        <v>4</v>
      </c>
      <c r="C206" s="27">
        <f>'1BASE'!B206</f>
        <v>0</v>
      </c>
      <c r="D206" s="26">
        <f>'1BASE'!C206</f>
        <v>45</v>
      </c>
      <c r="E206" s="27">
        <f>'1BASE'!D206</f>
        <v>62</v>
      </c>
      <c r="F206" s="27">
        <f>'1BASE'!E206</f>
        <v>65</v>
      </c>
      <c r="G206" s="27">
        <f t="shared" si="24"/>
        <v>80.504667717117798</v>
      </c>
      <c r="H206" s="26">
        <f>'1BASE'!F206</f>
        <v>6</v>
      </c>
      <c r="I206" s="24">
        <f>'1BASE'!G206</f>
        <v>0</v>
      </c>
      <c r="J206" s="24">
        <f>'1BASE'!H206</f>
        <v>0</v>
      </c>
      <c r="K206" s="24"/>
      <c r="L206" s="24"/>
      <c r="M206" s="24"/>
      <c r="N206" s="24"/>
      <c r="O206" s="24"/>
      <c r="P206" s="24"/>
      <c r="Q206" s="24"/>
      <c r="R206" s="24"/>
      <c r="S206" s="5"/>
      <c r="T206" s="5"/>
      <c r="U206" s="1" t="s">
        <v>96</v>
      </c>
      <c r="V206" s="11">
        <v>0.05</v>
      </c>
      <c r="W206" s="1">
        <f>+INICIO!$C$34</f>
        <v>2014</v>
      </c>
      <c r="X206" s="1" t="str">
        <f>+INICIO!$B$32</f>
        <v>LATIFOLIADO</v>
      </c>
      <c r="Y206" s="50" t="str">
        <f t="shared" si="25"/>
        <v>DEJAR</v>
      </c>
      <c r="Z206" s="50" t="str">
        <f t="shared" si="26"/>
        <v>DEJAR</v>
      </c>
      <c r="AA206" s="50" t="str">
        <f t="shared" si="27"/>
        <v>DEJAR</v>
      </c>
      <c r="AB206" s="50" t="str">
        <f t="shared" si="28"/>
        <v>DEJAR</v>
      </c>
      <c r="AC206" s="52">
        <f t="shared" si="29"/>
        <v>0.15904312808798329</v>
      </c>
      <c r="AD206" s="52">
        <f t="shared" si="30"/>
        <v>3.1808625617596658</v>
      </c>
      <c r="AE206" s="52">
        <f>+IF(X206=INICIO!$B$31,0.15991*D206^2.32764,AND(X206=INICIO!$B$32)*0.13657*D206^2.38351)</f>
        <v>1190.7041522680991</v>
      </c>
      <c r="AF206" s="52">
        <f t="shared" si="31"/>
        <v>23814.083045361978</v>
      </c>
      <c r="AG206" s="52">
        <f>+AE206/1000*INICIO!$D$50</f>
        <v>0.55963095156600651</v>
      </c>
      <c r="AH206" s="52">
        <f>+AF206/1000*INICIO!$D$50</f>
        <v>11.192619031320129</v>
      </c>
      <c r="AI206" s="55">
        <f>+IF(X206=INICIO!$B$31,IF(D206&lt;=82,0.15991*D206^2.32764, 0.15991*82^2.32764),AND(X206=INICIO!$B$32)*IF(D206&lt;=79.9,0.13657*D206^2.38351,0.13657*79.9^2.38351))</f>
        <v>1190.7041522680991</v>
      </c>
      <c r="AJ206" s="56">
        <f t="shared" si="32"/>
        <v>23814.083045361978</v>
      </c>
      <c r="AK206" s="56">
        <f>+AI206/1000*INICIO!$D$50</f>
        <v>0.55963095156600651</v>
      </c>
      <c r="AL206" s="56">
        <f>+AJ206/1000*INICIO!$D$50</f>
        <v>11.192619031320129</v>
      </c>
      <c r="AM206" s="57" t="str">
        <f>+INICIO!$C$30</f>
        <v>UVG_B_Kg</v>
      </c>
    </row>
    <row r="207" spans="1:39" ht="15" x14ac:dyDescent="0.25">
      <c r="A207" s="24">
        <v>16</v>
      </c>
      <c r="B207" s="25">
        <f>'1BASE'!A207</f>
        <v>5</v>
      </c>
      <c r="C207" s="24">
        <f>'1BASE'!B207</f>
        <v>0</v>
      </c>
      <c r="D207" s="26">
        <f>'1BASE'!C207</f>
        <v>43</v>
      </c>
      <c r="E207" s="27">
        <f>'1BASE'!D207</f>
        <v>110</v>
      </c>
      <c r="F207" s="27">
        <f>'1BASE'!E207</f>
        <v>90</v>
      </c>
      <c r="G207" s="32">
        <f t="shared" si="24"/>
        <v>3.2649104555238138E+17</v>
      </c>
      <c r="H207" s="26">
        <f>'1BASE'!F207</f>
        <v>3</v>
      </c>
      <c r="I207" s="24">
        <f>'1BASE'!G207</f>
        <v>0</v>
      </c>
      <c r="J207" s="24">
        <f>'1BASE'!H207</f>
        <v>0</v>
      </c>
      <c r="K207" s="24"/>
      <c r="L207" s="24"/>
      <c r="M207" s="24"/>
      <c r="N207" s="24"/>
      <c r="O207" s="24"/>
      <c r="P207" s="24"/>
      <c r="Q207" s="24"/>
      <c r="R207" s="24"/>
      <c r="S207" s="5"/>
      <c r="T207" s="5"/>
      <c r="U207" s="1" t="s">
        <v>96</v>
      </c>
      <c r="V207" s="11">
        <v>0.05</v>
      </c>
      <c r="W207" s="1">
        <f>+INICIO!$C$34</f>
        <v>2014</v>
      </c>
      <c r="X207" s="1" t="str">
        <f>+INICIO!$B$32</f>
        <v>LATIFOLIADO</v>
      </c>
      <c r="Y207" s="50" t="str">
        <f t="shared" si="25"/>
        <v>DEJAR</v>
      </c>
      <c r="Z207" s="50" t="str">
        <f t="shared" si="26"/>
        <v>DEJAR</v>
      </c>
      <c r="AA207" s="50" t="str">
        <f t="shared" si="27"/>
        <v>DEJAR</v>
      </c>
      <c r="AB207" s="50" t="str">
        <f t="shared" si="28"/>
        <v>DEJAR</v>
      </c>
      <c r="AC207" s="52">
        <f t="shared" si="29"/>
        <v>0.14522012041218818</v>
      </c>
      <c r="AD207" s="52">
        <f t="shared" si="30"/>
        <v>2.9044024082437634</v>
      </c>
      <c r="AE207" s="52">
        <f>+IF(X207=INICIO!$B$31,0.15991*D207^2.32764,AND(X207=INICIO!$B$32)*0.13657*D207^2.38351)</f>
        <v>1068.4241794788302</v>
      </c>
      <c r="AF207" s="52">
        <f t="shared" si="31"/>
        <v>21368.483589576601</v>
      </c>
      <c r="AG207" s="52">
        <f>+AE207/1000*INICIO!$D$50</f>
        <v>0.50215936435505015</v>
      </c>
      <c r="AH207" s="52">
        <f>+AF207/1000*INICIO!$D$50</f>
        <v>10.043187287101002</v>
      </c>
      <c r="AI207" s="55">
        <f>+IF(X207=INICIO!$B$31,IF(D207&lt;=82,0.15991*D207^2.32764, 0.15991*82^2.32764),AND(X207=INICIO!$B$32)*IF(D207&lt;=79.9,0.13657*D207^2.38351,0.13657*79.9^2.38351))</f>
        <v>1068.4241794788302</v>
      </c>
      <c r="AJ207" s="56">
        <f t="shared" si="32"/>
        <v>21368.483589576601</v>
      </c>
      <c r="AK207" s="56">
        <f>+AI207/1000*INICIO!$D$50</f>
        <v>0.50215936435505015</v>
      </c>
      <c r="AL207" s="56">
        <f>+AJ207/1000*INICIO!$D$50</f>
        <v>10.043187287101002</v>
      </c>
      <c r="AM207" s="57" t="str">
        <f>+INICIO!$C$30</f>
        <v>UVG_B_Kg</v>
      </c>
    </row>
    <row r="208" spans="1:39" ht="15" x14ac:dyDescent="0.25">
      <c r="A208" s="24">
        <v>16</v>
      </c>
      <c r="B208" s="25">
        <f>'1BASE'!A208</f>
        <v>6</v>
      </c>
      <c r="C208" s="24">
        <f>'1BASE'!B208</f>
        <v>0</v>
      </c>
      <c r="D208" s="26">
        <f>'1BASE'!C208</f>
        <v>43</v>
      </c>
      <c r="E208" s="27">
        <f>'1BASE'!D208</f>
        <v>75</v>
      </c>
      <c r="F208" s="27">
        <f>'1BASE'!E208</f>
        <v>120</v>
      </c>
      <c r="G208" s="27">
        <f t="shared" si="24"/>
        <v>39.999999999999993</v>
      </c>
      <c r="H208" s="26">
        <f>'1BASE'!F208</f>
        <v>4.5</v>
      </c>
      <c r="I208" s="24">
        <f>'1BASE'!G208</f>
        <v>0</v>
      </c>
      <c r="J208" s="24">
        <f>'1BASE'!H208</f>
        <v>0</v>
      </c>
      <c r="K208" s="24"/>
      <c r="L208" s="24"/>
      <c r="M208" s="24"/>
      <c r="N208" s="24"/>
      <c r="O208" s="24"/>
      <c r="P208" s="24"/>
      <c r="Q208" s="24"/>
      <c r="R208" s="24"/>
      <c r="S208" s="5"/>
      <c r="T208" s="5"/>
      <c r="U208" s="1" t="s">
        <v>96</v>
      </c>
      <c r="V208" s="11">
        <v>0.05</v>
      </c>
      <c r="W208" s="1">
        <f>+INICIO!$C$34</f>
        <v>2014</v>
      </c>
      <c r="X208" s="1" t="str">
        <f>+INICIO!$B$32</f>
        <v>LATIFOLIADO</v>
      </c>
      <c r="Y208" s="50" t="str">
        <f t="shared" si="25"/>
        <v>DEJAR</v>
      </c>
      <c r="Z208" s="50" t="str">
        <f t="shared" si="26"/>
        <v>DEJAR</v>
      </c>
      <c r="AA208" s="50" t="str">
        <f t="shared" si="27"/>
        <v>DEJAR</v>
      </c>
      <c r="AB208" s="50" t="str">
        <f t="shared" si="28"/>
        <v>DEJAR</v>
      </c>
      <c r="AC208" s="52">
        <f t="shared" si="29"/>
        <v>0.14522012041218818</v>
      </c>
      <c r="AD208" s="52">
        <f t="shared" si="30"/>
        <v>2.9044024082437634</v>
      </c>
      <c r="AE208" s="52">
        <f>+IF(X208=INICIO!$B$31,0.15991*D208^2.32764,AND(X208=INICIO!$B$32)*0.13657*D208^2.38351)</f>
        <v>1068.4241794788302</v>
      </c>
      <c r="AF208" s="52">
        <f t="shared" si="31"/>
        <v>21368.483589576601</v>
      </c>
      <c r="AG208" s="52">
        <f>+AE208/1000*INICIO!$D$50</f>
        <v>0.50215936435505015</v>
      </c>
      <c r="AH208" s="52">
        <f>+AF208/1000*INICIO!$D$50</f>
        <v>10.043187287101002</v>
      </c>
      <c r="AI208" s="55">
        <f>+IF(X208=INICIO!$B$31,IF(D208&lt;=82,0.15991*D208^2.32764, 0.15991*82^2.32764),AND(X208=INICIO!$B$32)*IF(D208&lt;=79.9,0.13657*D208^2.38351,0.13657*79.9^2.38351))</f>
        <v>1068.4241794788302</v>
      </c>
      <c r="AJ208" s="56">
        <f t="shared" si="32"/>
        <v>21368.483589576601</v>
      </c>
      <c r="AK208" s="56">
        <f>+AI208/1000*INICIO!$D$50</f>
        <v>0.50215936435505015</v>
      </c>
      <c r="AL208" s="56">
        <f>+AJ208/1000*INICIO!$D$50</f>
        <v>10.043187287101002</v>
      </c>
      <c r="AM208" s="57" t="str">
        <f>+INICIO!$C$30</f>
        <v>UVG_B_Kg</v>
      </c>
    </row>
    <row r="209" spans="1:39" ht="15" x14ac:dyDescent="0.25">
      <c r="A209" s="24">
        <v>17</v>
      </c>
      <c r="B209" s="25">
        <f>'1BASE'!A209</f>
        <v>1</v>
      </c>
      <c r="C209" s="24">
        <f>'1BASE'!B209</f>
        <v>0</v>
      </c>
      <c r="D209" s="26">
        <f>'1BASE'!C209</f>
        <v>29</v>
      </c>
      <c r="E209" s="27">
        <f>'1BASE'!D209</f>
        <v>100</v>
      </c>
      <c r="F209" s="27">
        <f>'1BASE'!E209</f>
        <v>40</v>
      </c>
      <c r="G209" s="32">
        <f t="shared" si="24"/>
        <v>-96.64364376880863</v>
      </c>
      <c r="H209" s="26">
        <f>'1BASE'!F209</f>
        <v>2</v>
      </c>
      <c r="I209" s="22" t="str">
        <f>'1BASE'!G209</f>
        <v>X</v>
      </c>
      <c r="J209" s="22" t="str">
        <f>'1BASE'!H209</f>
        <v>Y</v>
      </c>
      <c r="K209" s="24"/>
      <c r="L209" s="24"/>
      <c r="M209" s="24"/>
      <c r="N209" s="24"/>
      <c r="O209" s="24"/>
      <c r="P209" s="24"/>
      <c r="Q209" s="24"/>
      <c r="R209" s="24"/>
      <c r="S209" s="5"/>
      <c r="T209" s="5"/>
      <c r="U209" s="1" t="s">
        <v>96</v>
      </c>
      <c r="V209" s="11">
        <v>0.05</v>
      </c>
      <c r="W209" s="1">
        <f>+INICIO!$C$34</f>
        <v>2014</v>
      </c>
      <c r="X209" s="1" t="str">
        <f>+INICIO!$B$32</f>
        <v>LATIFOLIADO</v>
      </c>
      <c r="Y209" s="50" t="str">
        <f t="shared" si="25"/>
        <v>DEJAR</v>
      </c>
      <c r="Z209" s="50" t="str">
        <f t="shared" si="26"/>
        <v>DEJAR</v>
      </c>
      <c r="AA209" s="50" t="str">
        <f t="shared" si="27"/>
        <v>DEJAR</v>
      </c>
      <c r="AB209" s="50" t="str">
        <f t="shared" si="28"/>
        <v>DEJAR</v>
      </c>
      <c r="AC209" s="52">
        <f t="shared" si="29"/>
        <v>6.6051985541725394E-2</v>
      </c>
      <c r="AD209" s="52">
        <f t="shared" si="30"/>
        <v>1.3210397108345078</v>
      </c>
      <c r="AE209" s="52">
        <f>+IF(X209=INICIO!$B$31,0.15991*D209^2.32764,AND(X209=INICIO!$B$32)*0.13657*D209^2.38351)</f>
        <v>417.82609631752575</v>
      </c>
      <c r="AF209" s="52">
        <f t="shared" si="31"/>
        <v>8356.5219263505151</v>
      </c>
      <c r="AG209" s="52">
        <f>+AE209/1000*INICIO!$D$50</f>
        <v>0.1963782652692371</v>
      </c>
      <c r="AH209" s="52">
        <f>+AF209/1000*INICIO!$D$50</f>
        <v>3.9275653053847419</v>
      </c>
      <c r="AI209" s="55">
        <f>+IF(X209=INICIO!$B$31,IF(D209&lt;=82,0.15991*D209^2.32764, 0.15991*82^2.32764),AND(X209=INICIO!$B$32)*IF(D209&lt;=79.9,0.13657*D209^2.38351,0.13657*79.9^2.38351))</f>
        <v>417.82609631752575</v>
      </c>
      <c r="AJ209" s="56">
        <f t="shared" si="32"/>
        <v>8356.5219263505151</v>
      </c>
      <c r="AK209" s="56">
        <f>+AI209/1000*INICIO!$D$50</f>
        <v>0.1963782652692371</v>
      </c>
      <c r="AL209" s="56">
        <f>+AJ209/1000*INICIO!$D$50</f>
        <v>3.9275653053847419</v>
      </c>
      <c r="AM209" s="57" t="str">
        <f>+INICIO!$C$30</f>
        <v>UVG_B_Kg</v>
      </c>
    </row>
    <row r="210" spans="1:39" ht="15" x14ac:dyDescent="0.25">
      <c r="A210" s="24">
        <v>17</v>
      </c>
      <c r="B210" s="25">
        <f>'1BASE'!A210</f>
        <v>2</v>
      </c>
      <c r="C210" s="24">
        <f>'1BASE'!B210</f>
        <v>0</v>
      </c>
      <c r="D210" s="26">
        <f>'1BASE'!C210</f>
        <v>50</v>
      </c>
      <c r="E210" s="27">
        <f>'1BASE'!D210</f>
        <v>110</v>
      </c>
      <c r="F210" s="27">
        <f>'1BASE'!E210</f>
        <v>60</v>
      </c>
      <c r="G210" s="32">
        <f t="shared" si="24"/>
        <v>-20.308532237714914</v>
      </c>
      <c r="H210" s="26">
        <f>'1BASE'!F210</f>
        <v>6</v>
      </c>
      <c r="I210" s="22" t="str">
        <f>'1BASE'!G210</f>
        <v>88° 38' 44.3''</v>
      </c>
      <c r="J210" s="22" t="str">
        <f>'1BASE'!H210</f>
        <v>15° 41' 4.7''</v>
      </c>
      <c r="K210" s="24" t="str">
        <f>LEFT(I210,2)</f>
        <v>88</v>
      </c>
      <c r="L210" s="24" t="str">
        <f>+LEFT(RIGHT(I210,10),2)</f>
        <v>38</v>
      </c>
      <c r="M210" s="24" t="str">
        <f>+LEFT(RIGHT(I210,6),4)</f>
        <v>44.3</v>
      </c>
      <c r="N210" s="24">
        <f>(K210+((L210+(M210/60)/60)/60))*-1</f>
        <v>-88.63353842592592</v>
      </c>
      <c r="O210" s="24" t="str">
        <f>LEFT(J210,2)</f>
        <v>15</v>
      </c>
      <c r="P210" s="24" t="str">
        <f>+LEFT(RIGHT(J210,9),2)</f>
        <v>41</v>
      </c>
      <c r="Q210" s="24" t="str">
        <f>+LEFT(RIGHT(J210,6),4)</f>
        <v xml:space="preserve"> 4.7</v>
      </c>
      <c r="R210" s="24">
        <f>O210+((P210+(Q210/60)/60)/60)</f>
        <v>15.683355092592592</v>
      </c>
      <c r="S210" s="11">
        <v>700077.55777900002</v>
      </c>
      <c r="T210" s="11">
        <v>1735138.4759200001</v>
      </c>
      <c r="U210" s="1" t="s">
        <v>96</v>
      </c>
      <c r="V210" s="11">
        <v>0.05</v>
      </c>
      <c r="W210" s="1">
        <f>+INICIO!$C$34</f>
        <v>2014</v>
      </c>
      <c r="X210" s="1" t="str">
        <f>+INICIO!$B$32</f>
        <v>LATIFOLIADO</v>
      </c>
      <c r="Y210" s="50" t="str">
        <f t="shared" si="25"/>
        <v>DEJAR</v>
      </c>
      <c r="Z210" s="50" t="str">
        <f t="shared" si="26"/>
        <v>DEJAR</v>
      </c>
      <c r="AA210" s="50" t="str">
        <f t="shared" si="27"/>
        <v>DEJAR</v>
      </c>
      <c r="AB210" s="50" t="str">
        <f t="shared" si="28"/>
        <v>DEJAR</v>
      </c>
      <c r="AC210" s="52">
        <f t="shared" si="29"/>
        <v>0.19634954084936207</v>
      </c>
      <c r="AD210" s="52">
        <f t="shared" si="30"/>
        <v>3.9269908169872414</v>
      </c>
      <c r="AE210" s="52">
        <f>+IF(X210=INICIO!$B$31,0.15991*D210^2.32764,AND(X210=INICIO!$B$32)*0.13657*D210^2.38351)</f>
        <v>1530.6197203780737</v>
      </c>
      <c r="AF210" s="52">
        <f t="shared" si="31"/>
        <v>30612.394407561471</v>
      </c>
      <c r="AG210" s="52">
        <f>+AE210/1000*INICIO!$D$50</f>
        <v>0.71939126857769453</v>
      </c>
      <c r="AH210" s="52">
        <f>+AF210/1000*INICIO!$D$50</f>
        <v>14.387825371553891</v>
      </c>
      <c r="AI210" s="55">
        <f>+IF(X210=INICIO!$B$31,IF(D210&lt;=82,0.15991*D210^2.32764, 0.15991*82^2.32764),AND(X210=INICIO!$B$32)*IF(D210&lt;=79.9,0.13657*D210^2.38351,0.13657*79.9^2.38351))</f>
        <v>1530.6197203780737</v>
      </c>
      <c r="AJ210" s="56">
        <f t="shared" si="32"/>
        <v>30612.394407561471</v>
      </c>
      <c r="AK210" s="56">
        <f>+AI210/1000*INICIO!$D$50</f>
        <v>0.71939126857769453</v>
      </c>
      <c r="AL210" s="56">
        <f>+AJ210/1000*INICIO!$D$50</f>
        <v>14.387825371553891</v>
      </c>
      <c r="AM210" s="57" t="str">
        <f>+INICIO!$C$30</f>
        <v>UVG_B_Kg</v>
      </c>
    </row>
    <row r="211" spans="1:39" ht="15" x14ac:dyDescent="0.25">
      <c r="A211" s="24">
        <v>17</v>
      </c>
      <c r="B211" s="25">
        <f>'1BASE'!A211</f>
        <v>3</v>
      </c>
      <c r="C211" s="24">
        <f>'1BASE'!B211</f>
        <v>0</v>
      </c>
      <c r="D211" s="26">
        <f>'1BASE'!C211</f>
        <v>18</v>
      </c>
      <c r="E211" s="27">
        <f>'1BASE'!D211</f>
        <v>90</v>
      </c>
      <c r="F211" s="27">
        <f>'1BASE'!E211</f>
        <v>20</v>
      </c>
      <c r="G211" s="32">
        <f t="shared" si="24"/>
        <v>3.2649104555238144E+17</v>
      </c>
      <c r="H211" s="26">
        <f>'1BASE'!F211</f>
        <v>1</v>
      </c>
      <c r="I211" s="24">
        <f>'1BASE'!G211</f>
        <v>0</v>
      </c>
      <c r="J211" s="24">
        <f>'1BASE'!H211</f>
        <v>0</v>
      </c>
      <c r="K211" s="24"/>
      <c r="L211" s="24"/>
      <c r="M211" s="24"/>
      <c r="N211" s="24"/>
      <c r="O211" s="24"/>
      <c r="P211" s="24"/>
      <c r="Q211" s="24"/>
      <c r="R211" s="24"/>
      <c r="S211" s="5"/>
      <c r="T211" s="5"/>
      <c r="U211" s="1" t="s">
        <v>96</v>
      </c>
      <c r="V211" s="11">
        <v>0.05</v>
      </c>
      <c r="W211" s="1">
        <f>+INICIO!$C$34</f>
        <v>2014</v>
      </c>
      <c r="X211" s="1" t="str">
        <f>+INICIO!$B$32</f>
        <v>LATIFOLIADO</v>
      </c>
      <c r="Y211" s="50" t="str">
        <f t="shared" si="25"/>
        <v>DEJAR</v>
      </c>
      <c r="Z211" s="50" t="str">
        <f t="shared" si="26"/>
        <v>DEJAR</v>
      </c>
      <c r="AA211" s="50" t="str">
        <f t="shared" si="27"/>
        <v>DEJAR</v>
      </c>
      <c r="AB211" s="50" t="str">
        <f t="shared" si="28"/>
        <v>DEJAR</v>
      </c>
      <c r="AC211" s="52">
        <f t="shared" si="29"/>
        <v>2.5446900494077322E-2</v>
      </c>
      <c r="AD211" s="52">
        <f t="shared" si="30"/>
        <v>0.50893800988154636</v>
      </c>
      <c r="AE211" s="52">
        <f>+IF(X211=INICIO!$B$31,0.15991*D211^2.32764,AND(X211=INICIO!$B$32)*0.13657*D211^2.38351)</f>
        <v>134.06329154071116</v>
      </c>
      <c r="AF211" s="52">
        <f t="shared" si="31"/>
        <v>2681.2658308142231</v>
      </c>
      <c r="AG211" s="52">
        <f>+AE211/1000*INICIO!$D$50</f>
        <v>6.3009747024134241E-2</v>
      </c>
      <c r="AH211" s="52">
        <f>+AF211/1000*INICIO!$D$50</f>
        <v>1.2601949404826847</v>
      </c>
      <c r="AI211" s="55">
        <f>+IF(X211=INICIO!$B$31,IF(D211&lt;=82,0.15991*D211^2.32764, 0.15991*82^2.32764),AND(X211=INICIO!$B$32)*IF(D211&lt;=79.9,0.13657*D211^2.38351,0.13657*79.9^2.38351))</f>
        <v>134.06329154071116</v>
      </c>
      <c r="AJ211" s="56">
        <f t="shared" si="32"/>
        <v>2681.2658308142231</v>
      </c>
      <c r="AK211" s="56">
        <f>+AI211/1000*INICIO!$D$50</f>
        <v>6.3009747024134241E-2</v>
      </c>
      <c r="AL211" s="56">
        <f>+AJ211/1000*INICIO!$D$50</f>
        <v>1.2601949404826847</v>
      </c>
      <c r="AM211" s="57" t="str">
        <f>+INICIO!$C$30</f>
        <v>UVG_B_Kg</v>
      </c>
    </row>
    <row r="212" spans="1:39" ht="15" x14ac:dyDescent="0.25">
      <c r="A212" s="24">
        <v>17</v>
      </c>
      <c r="B212" s="25">
        <f>'1BASE'!A212</f>
        <v>4</v>
      </c>
      <c r="C212" s="27">
        <f>'1BASE'!B212</f>
        <v>0</v>
      </c>
      <c r="D212" s="26">
        <f>'1BASE'!C212</f>
        <v>65</v>
      </c>
      <c r="E212" s="27">
        <f>'1BASE'!D212</f>
        <v>70</v>
      </c>
      <c r="F212" s="27">
        <f>'1BASE'!E212</f>
        <v>100</v>
      </c>
      <c r="G212" s="32">
        <f t="shared" si="24"/>
        <v>-58.476088003261786</v>
      </c>
      <c r="H212" s="26">
        <f>'1BASE'!F212</f>
        <v>6.5</v>
      </c>
      <c r="I212" s="24">
        <f>'1BASE'!G212</f>
        <v>0</v>
      </c>
      <c r="J212" s="24">
        <f>'1BASE'!H212</f>
        <v>0</v>
      </c>
      <c r="K212" s="24"/>
      <c r="L212" s="24"/>
      <c r="M212" s="24"/>
      <c r="N212" s="24"/>
      <c r="O212" s="24"/>
      <c r="P212" s="24"/>
      <c r="Q212" s="24"/>
      <c r="R212" s="24"/>
      <c r="S212" s="5"/>
      <c r="T212" s="5"/>
      <c r="U212" s="1" t="s">
        <v>96</v>
      </c>
      <c r="V212" s="11">
        <v>0.05</v>
      </c>
      <c r="W212" s="1">
        <f>+INICIO!$C$34</f>
        <v>2014</v>
      </c>
      <c r="X212" s="1" t="str">
        <f>+INICIO!$B$32</f>
        <v>LATIFOLIADO</v>
      </c>
      <c r="Y212" s="50" t="str">
        <f t="shared" si="25"/>
        <v>DEJAR</v>
      </c>
      <c r="Z212" s="50" t="str">
        <f t="shared" si="26"/>
        <v>DEJAR</v>
      </c>
      <c r="AA212" s="50" t="str">
        <f t="shared" si="27"/>
        <v>DEJAR</v>
      </c>
      <c r="AB212" s="50" t="str">
        <f t="shared" si="28"/>
        <v>DEJAR</v>
      </c>
      <c r="AC212" s="52">
        <f t="shared" si="29"/>
        <v>0.33183072403542191</v>
      </c>
      <c r="AD212" s="52">
        <f t="shared" si="30"/>
        <v>6.6366144807084382</v>
      </c>
      <c r="AE212" s="52">
        <f>+IF(X212=INICIO!$B$31,0.15991*D212^2.32764,AND(X212=INICIO!$B$32)*0.13657*D212^2.38351)</f>
        <v>2860.5689751200016</v>
      </c>
      <c r="AF212" s="52">
        <f t="shared" si="31"/>
        <v>57211.379502400028</v>
      </c>
      <c r="AG212" s="52">
        <f>+AE212/1000*INICIO!$D$50</f>
        <v>1.3444674183064005</v>
      </c>
      <c r="AH212" s="52">
        <f>+AF212/1000*INICIO!$D$50</f>
        <v>26.889348366128011</v>
      </c>
      <c r="AI212" s="55">
        <f>+IF(X212=INICIO!$B$31,IF(D212&lt;=82,0.15991*D212^2.32764, 0.15991*82^2.32764),AND(X212=INICIO!$B$32)*IF(D212&lt;=79.9,0.13657*D212^2.38351,0.13657*79.9^2.38351))</f>
        <v>2860.5689751200016</v>
      </c>
      <c r="AJ212" s="56">
        <f t="shared" si="32"/>
        <v>57211.379502400028</v>
      </c>
      <c r="AK212" s="56">
        <f>+AI212/1000*INICIO!$D$50</f>
        <v>1.3444674183064005</v>
      </c>
      <c r="AL212" s="56">
        <f>+AJ212/1000*INICIO!$D$50</f>
        <v>26.889348366128011</v>
      </c>
      <c r="AM212" s="57" t="str">
        <f>+INICIO!$C$30</f>
        <v>UVG_B_Kg</v>
      </c>
    </row>
    <row r="213" spans="1:39" ht="15" x14ac:dyDescent="0.25">
      <c r="A213" s="24">
        <v>17</v>
      </c>
      <c r="B213" s="25">
        <f>'1BASE'!A213</f>
        <v>5</v>
      </c>
      <c r="C213" s="24">
        <f>'1BASE'!B213</f>
        <v>0</v>
      </c>
      <c r="D213" s="26">
        <f>'1BASE'!C213</f>
        <v>18</v>
      </c>
      <c r="E213" s="27">
        <f>'1BASE'!D213</f>
        <v>75</v>
      </c>
      <c r="F213" s="27">
        <f>'1BASE'!E213</f>
        <v>100</v>
      </c>
      <c r="G213" s="32">
        <f t="shared" si="24"/>
        <v>-38.784620240976665</v>
      </c>
      <c r="H213" s="26">
        <f>'1BASE'!F213</f>
        <v>3</v>
      </c>
      <c r="I213" s="24">
        <f>'1BASE'!G213</f>
        <v>0</v>
      </c>
      <c r="J213" s="24">
        <f>'1BASE'!H213</f>
        <v>0</v>
      </c>
      <c r="K213" s="24"/>
      <c r="L213" s="24"/>
      <c r="M213" s="24"/>
      <c r="N213" s="24"/>
      <c r="O213" s="24"/>
      <c r="P213" s="24"/>
      <c r="Q213" s="24"/>
      <c r="R213" s="24"/>
      <c r="S213" s="5"/>
      <c r="T213" s="5"/>
      <c r="U213" s="1" t="s">
        <v>96</v>
      </c>
      <c r="V213" s="11">
        <v>0.05</v>
      </c>
      <c r="W213" s="1">
        <f>+INICIO!$C$34</f>
        <v>2014</v>
      </c>
      <c r="X213" s="1" t="str">
        <f>+INICIO!$B$32</f>
        <v>LATIFOLIADO</v>
      </c>
      <c r="Y213" s="50" t="str">
        <f t="shared" si="25"/>
        <v>DEJAR</v>
      </c>
      <c r="Z213" s="50" t="str">
        <f t="shared" si="26"/>
        <v>DEJAR</v>
      </c>
      <c r="AA213" s="50" t="str">
        <f t="shared" si="27"/>
        <v>DEJAR</v>
      </c>
      <c r="AB213" s="50" t="str">
        <f t="shared" si="28"/>
        <v>DEJAR</v>
      </c>
      <c r="AC213" s="52">
        <f t="shared" si="29"/>
        <v>2.5446900494077322E-2</v>
      </c>
      <c r="AD213" s="52">
        <f t="shared" si="30"/>
        <v>0.50893800988154636</v>
      </c>
      <c r="AE213" s="52">
        <f>+IF(X213=INICIO!$B$31,0.15991*D213^2.32764,AND(X213=INICIO!$B$32)*0.13657*D213^2.38351)</f>
        <v>134.06329154071116</v>
      </c>
      <c r="AF213" s="52">
        <f t="shared" si="31"/>
        <v>2681.2658308142231</v>
      </c>
      <c r="AG213" s="52">
        <f>+AE213/1000*INICIO!$D$50</f>
        <v>6.3009747024134241E-2</v>
      </c>
      <c r="AH213" s="52">
        <f>+AF213/1000*INICIO!$D$50</f>
        <v>1.2601949404826847</v>
      </c>
      <c r="AI213" s="55">
        <f>+IF(X213=INICIO!$B$31,IF(D213&lt;=82,0.15991*D213^2.32764, 0.15991*82^2.32764),AND(X213=INICIO!$B$32)*IF(D213&lt;=79.9,0.13657*D213^2.38351,0.13657*79.9^2.38351))</f>
        <v>134.06329154071116</v>
      </c>
      <c r="AJ213" s="56">
        <f t="shared" si="32"/>
        <v>2681.2658308142231</v>
      </c>
      <c r="AK213" s="56">
        <f>+AI213/1000*INICIO!$D$50</f>
        <v>6.3009747024134241E-2</v>
      </c>
      <c r="AL213" s="56">
        <f>+AJ213/1000*INICIO!$D$50</f>
        <v>1.2601949404826847</v>
      </c>
      <c r="AM213" s="57" t="str">
        <f>+INICIO!$C$30</f>
        <v>UVG_B_Kg</v>
      </c>
    </row>
    <row r="214" spans="1:39" ht="15" x14ac:dyDescent="0.25">
      <c r="A214" s="24">
        <v>17</v>
      </c>
      <c r="B214" s="25">
        <f>'1BASE'!A214</f>
        <v>6</v>
      </c>
      <c r="C214" s="24">
        <f>'1BASE'!B214</f>
        <v>0</v>
      </c>
      <c r="D214" s="26">
        <f>'1BASE'!C214</f>
        <v>38.5</v>
      </c>
      <c r="E214" s="27">
        <f>'1BASE'!D214</f>
        <v>70</v>
      </c>
      <c r="F214" s="27">
        <f>'1BASE'!E214</f>
        <v>50</v>
      </c>
      <c r="G214" s="27">
        <f t="shared" si="24"/>
        <v>78.784620240976636</v>
      </c>
      <c r="H214" s="26">
        <f>'1BASE'!F214</f>
        <v>2</v>
      </c>
      <c r="I214" s="24">
        <f>'1BASE'!G214</f>
        <v>0</v>
      </c>
      <c r="J214" s="24">
        <f>'1BASE'!H214</f>
        <v>0</v>
      </c>
      <c r="K214" s="24"/>
      <c r="L214" s="24"/>
      <c r="M214" s="24"/>
      <c r="N214" s="24"/>
      <c r="O214" s="24"/>
      <c r="P214" s="24"/>
      <c r="Q214" s="24"/>
      <c r="R214" s="24"/>
      <c r="S214" s="5"/>
      <c r="T214" s="5"/>
      <c r="U214" s="1" t="s">
        <v>96</v>
      </c>
      <c r="V214" s="11">
        <v>0.05</v>
      </c>
      <c r="W214" s="1">
        <f>+INICIO!$C$34</f>
        <v>2014</v>
      </c>
      <c r="X214" s="1" t="str">
        <f>+INICIO!$B$32</f>
        <v>LATIFOLIADO</v>
      </c>
      <c r="Y214" s="50" t="str">
        <f t="shared" si="25"/>
        <v>DEJAR</v>
      </c>
      <c r="Z214" s="50" t="str">
        <f t="shared" si="26"/>
        <v>DEJAR</v>
      </c>
      <c r="AA214" s="50" t="str">
        <f t="shared" si="27"/>
        <v>DEJAR</v>
      </c>
      <c r="AB214" s="50" t="str">
        <f t="shared" si="28"/>
        <v>DEJAR</v>
      </c>
      <c r="AC214" s="52">
        <f t="shared" si="29"/>
        <v>0.11641564276958677</v>
      </c>
      <c r="AD214" s="52">
        <f t="shared" si="30"/>
        <v>2.3283128553917352</v>
      </c>
      <c r="AE214" s="52">
        <f>+IF(X214=INICIO!$B$31,0.15991*D214^2.32764,AND(X214=INICIO!$B$32)*0.13657*D214^2.38351)</f>
        <v>820.9501996191043</v>
      </c>
      <c r="AF214" s="52">
        <f t="shared" si="31"/>
        <v>16419.003992382084</v>
      </c>
      <c r="AG214" s="52">
        <f>+AE214/1000*INICIO!$D$50</f>
        <v>0.38584659382097902</v>
      </c>
      <c r="AH214" s="52">
        <f>+AF214/1000*INICIO!$D$50</f>
        <v>7.7169318764195793</v>
      </c>
      <c r="AI214" s="55">
        <f>+IF(X214=INICIO!$B$31,IF(D214&lt;=82,0.15991*D214^2.32764, 0.15991*82^2.32764),AND(X214=INICIO!$B$32)*IF(D214&lt;=79.9,0.13657*D214^2.38351,0.13657*79.9^2.38351))</f>
        <v>820.9501996191043</v>
      </c>
      <c r="AJ214" s="56">
        <f t="shared" si="32"/>
        <v>16419.003992382084</v>
      </c>
      <c r="AK214" s="56">
        <f>+AI214/1000*INICIO!$D$50</f>
        <v>0.38584659382097902</v>
      </c>
      <c r="AL214" s="56">
        <f>+AJ214/1000*INICIO!$D$50</f>
        <v>7.7169318764195793</v>
      </c>
      <c r="AM214" s="57" t="str">
        <f>+INICIO!$C$30</f>
        <v>UVG_B_Kg</v>
      </c>
    </row>
    <row r="215" spans="1:39" ht="15" x14ac:dyDescent="0.25">
      <c r="A215" s="24">
        <v>17</v>
      </c>
      <c r="B215" s="25">
        <f>'1BASE'!A215</f>
        <v>7</v>
      </c>
      <c r="C215" s="24">
        <f>'1BASE'!B215</f>
        <v>0</v>
      </c>
      <c r="D215" s="26">
        <f>'1BASE'!C215</f>
        <v>22.5</v>
      </c>
      <c r="E215" s="27">
        <f>'1BASE'!D215</f>
        <v>80</v>
      </c>
      <c r="F215" s="27">
        <f>'1BASE'!E215</f>
        <v>50</v>
      </c>
      <c r="G215" s="27">
        <f t="shared" si="24"/>
        <v>137.26070824423834</v>
      </c>
      <c r="H215" s="26">
        <f>'1BASE'!F215</f>
        <v>1.5</v>
      </c>
      <c r="I215" s="24">
        <f>'1BASE'!G215</f>
        <v>0</v>
      </c>
      <c r="J215" s="24">
        <f>'1BASE'!H215</f>
        <v>0</v>
      </c>
      <c r="K215" s="24"/>
      <c r="L215" s="24"/>
      <c r="M215" s="24"/>
      <c r="N215" s="24"/>
      <c r="O215" s="24"/>
      <c r="P215" s="24"/>
      <c r="Q215" s="24"/>
      <c r="R215" s="24"/>
      <c r="S215" s="5"/>
      <c r="T215" s="5"/>
      <c r="U215" s="1" t="s">
        <v>96</v>
      </c>
      <c r="V215" s="11">
        <v>0.05</v>
      </c>
      <c r="W215" s="1">
        <f>+INICIO!$C$34</f>
        <v>2014</v>
      </c>
      <c r="X215" s="1" t="str">
        <f>+INICIO!$B$32</f>
        <v>LATIFOLIADO</v>
      </c>
      <c r="Y215" s="50" t="str">
        <f t="shared" si="25"/>
        <v>DEJAR</v>
      </c>
      <c r="Z215" s="50" t="str">
        <f t="shared" si="26"/>
        <v>DEJAR</v>
      </c>
      <c r="AA215" s="50" t="str">
        <f t="shared" si="27"/>
        <v>DEJAR</v>
      </c>
      <c r="AB215" s="50" t="str">
        <f t="shared" si="28"/>
        <v>DEJAR</v>
      </c>
      <c r="AC215" s="52">
        <f t="shared" si="29"/>
        <v>3.9760782021995823E-2</v>
      </c>
      <c r="AD215" s="52">
        <f t="shared" si="30"/>
        <v>0.79521564043991644</v>
      </c>
      <c r="AE215" s="52">
        <f>+IF(X215=INICIO!$B$31,0.15991*D215^2.32764,AND(X215=INICIO!$B$32)*0.13657*D215^2.38351)</f>
        <v>228.1896084504572</v>
      </c>
      <c r="AF215" s="52">
        <f t="shared" si="31"/>
        <v>4563.7921690091434</v>
      </c>
      <c r="AG215" s="52">
        <f>+AE215/1000*INICIO!$D$50</f>
        <v>0.10724911597171487</v>
      </c>
      <c r="AH215" s="52">
        <f>+AF215/1000*INICIO!$D$50</f>
        <v>2.1449823194342974</v>
      </c>
      <c r="AI215" s="55">
        <f>+IF(X215=INICIO!$B$31,IF(D215&lt;=82,0.15991*D215^2.32764, 0.15991*82^2.32764),AND(X215=INICIO!$B$32)*IF(D215&lt;=79.9,0.13657*D215^2.38351,0.13657*79.9^2.38351))</f>
        <v>228.1896084504572</v>
      </c>
      <c r="AJ215" s="56">
        <f t="shared" si="32"/>
        <v>4563.7921690091434</v>
      </c>
      <c r="AK215" s="56">
        <f>+AI215/1000*INICIO!$D$50</f>
        <v>0.10724911597171487</v>
      </c>
      <c r="AL215" s="56">
        <f>+AJ215/1000*INICIO!$D$50</f>
        <v>2.1449823194342974</v>
      </c>
      <c r="AM215" s="57" t="str">
        <f>+INICIO!$C$30</f>
        <v>UVG_B_Kg</v>
      </c>
    </row>
    <row r="216" spans="1:39" ht="15" x14ac:dyDescent="0.25">
      <c r="A216" s="24">
        <v>18</v>
      </c>
      <c r="B216" s="25">
        <f>'1BASE'!A216</f>
        <v>1</v>
      </c>
      <c r="C216" s="24" t="str">
        <f>'1BASE'!B216</f>
        <v>Guarumo</v>
      </c>
      <c r="D216" s="26">
        <f>'1BASE'!C216</f>
        <v>15</v>
      </c>
      <c r="E216" s="27">
        <f>'1BASE'!D216</f>
        <v>65</v>
      </c>
      <c r="F216" s="27">
        <f>'1BASE'!E216</f>
        <v>40</v>
      </c>
      <c r="G216" s="27">
        <f t="shared" si="24"/>
        <v>59.672131033736768</v>
      </c>
      <c r="H216" s="26">
        <f>'1BASE'!F216</f>
        <v>1.5</v>
      </c>
      <c r="I216" s="22" t="str">
        <f>'1BASE'!G216</f>
        <v>X</v>
      </c>
      <c r="J216" s="22" t="str">
        <f>'1BASE'!H216</f>
        <v>Y</v>
      </c>
      <c r="K216" s="24"/>
      <c r="L216" s="24"/>
      <c r="M216" s="24"/>
      <c r="N216" s="24"/>
      <c r="O216" s="24"/>
      <c r="P216" s="24"/>
      <c r="Q216" s="24"/>
      <c r="R216" s="24"/>
      <c r="S216" s="5"/>
      <c r="T216" s="5"/>
      <c r="U216" s="1" t="s">
        <v>96</v>
      </c>
      <c r="V216" s="11">
        <v>0.05</v>
      </c>
      <c r="W216" s="1">
        <f>+INICIO!$C$34</f>
        <v>2014</v>
      </c>
      <c r="X216" s="1" t="str">
        <f>+INICIO!$B$32</f>
        <v>LATIFOLIADO</v>
      </c>
      <c r="Y216" s="50" t="str">
        <f t="shared" si="25"/>
        <v>DEJAR</v>
      </c>
      <c r="Z216" s="50" t="str">
        <f t="shared" si="26"/>
        <v>DEJAR</v>
      </c>
      <c r="AA216" s="50" t="str">
        <f t="shared" si="27"/>
        <v>DEJAR</v>
      </c>
      <c r="AB216" s="50" t="str">
        <f t="shared" si="28"/>
        <v>DEJAR</v>
      </c>
      <c r="AC216" s="52">
        <f t="shared" si="29"/>
        <v>1.7671458676442587E-2</v>
      </c>
      <c r="AD216" s="52">
        <f t="shared" si="30"/>
        <v>0.35342917352885173</v>
      </c>
      <c r="AE216" s="52">
        <f>+IF(X216=INICIO!$B$31,0.15991*D216^2.32764,AND(X216=INICIO!$B$32)*0.13657*D216^2.38351)</f>
        <v>86.812164819560579</v>
      </c>
      <c r="AF216" s="52">
        <f t="shared" si="31"/>
        <v>1736.2432963912115</v>
      </c>
      <c r="AG216" s="52">
        <f>+AE216/1000*INICIO!$D$50</f>
        <v>4.0801717465193475E-2</v>
      </c>
      <c r="AH216" s="52">
        <f>+AF216/1000*INICIO!$D$50</f>
        <v>0.81603434930386942</v>
      </c>
      <c r="AI216" s="55">
        <f>+IF(X216=INICIO!$B$31,IF(D216&lt;=82,0.15991*D216^2.32764, 0.15991*82^2.32764),AND(X216=INICIO!$B$32)*IF(D216&lt;=79.9,0.13657*D216^2.38351,0.13657*79.9^2.38351))</f>
        <v>86.812164819560579</v>
      </c>
      <c r="AJ216" s="56">
        <f t="shared" si="32"/>
        <v>1736.2432963912115</v>
      </c>
      <c r="AK216" s="56">
        <f>+AI216/1000*INICIO!$D$50</f>
        <v>4.0801717465193475E-2</v>
      </c>
      <c r="AL216" s="56">
        <f>+AJ216/1000*INICIO!$D$50</f>
        <v>0.81603434930386942</v>
      </c>
      <c r="AM216" s="57" t="str">
        <f>+INICIO!$C$30</f>
        <v>UVG_B_Kg</v>
      </c>
    </row>
    <row r="217" spans="1:39" ht="15" x14ac:dyDescent="0.25">
      <c r="A217" s="24">
        <v>18</v>
      </c>
      <c r="B217" s="25">
        <f>'1BASE'!A217</f>
        <v>2</v>
      </c>
      <c r="C217" s="24" t="str">
        <f>'1BASE'!B217</f>
        <v>Malaguate</v>
      </c>
      <c r="D217" s="26">
        <f>'1BASE'!C217</f>
        <v>18</v>
      </c>
      <c r="E217" s="27">
        <f>'1BASE'!D217</f>
        <v>70</v>
      </c>
      <c r="F217" s="27">
        <f>'1BASE'!E217</f>
        <v>45</v>
      </c>
      <c r="G217" s="27">
        <f t="shared" si="24"/>
        <v>74.949548389092428</v>
      </c>
      <c r="H217" s="26">
        <f>'1BASE'!F217</f>
        <v>2.5</v>
      </c>
      <c r="I217" s="22" t="str">
        <f>'1BASE'!G217</f>
        <v>88° 38' 49.9''</v>
      </c>
      <c r="J217" s="22" t="str">
        <f>'1BASE'!H217</f>
        <v>15° 41' 1.5''</v>
      </c>
      <c r="K217" s="24" t="str">
        <f>LEFT(I217,2)</f>
        <v>88</v>
      </c>
      <c r="L217" s="24" t="str">
        <f>+LEFT(RIGHT(I217,10),2)</f>
        <v>38</v>
      </c>
      <c r="M217" s="24" t="str">
        <f>+LEFT(RIGHT(I217,6),4)</f>
        <v>49.9</v>
      </c>
      <c r="N217" s="24">
        <f>(K217+((L217+(M217/60)/60)/60))*-1</f>
        <v>-88.633564351851845</v>
      </c>
      <c r="O217" s="24" t="str">
        <f>LEFT(J217,2)</f>
        <v>15</v>
      </c>
      <c r="P217" s="24" t="str">
        <f>+LEFT(RIGHT(J217,9),2)</f>
        <v>41</v>
      </c>
      <c r="Q217" s="24" t="str">
        <f>+LEFT(RIGHT(J217,6),4)</f>
        <v xml:space="preserve"> 1.5</v>
      </c>
      <c r="R217" s="24">
        <f>O217+((P217+(Q217/60)/60)/60)</f>
        <v>15.683340277777777</v>
      </c>
      <c r="S217" s="11">
        <v>700074.79221800005</v>
      </c>
      <c r="T217" s="11">
        <v>1735136.81167</v>
      </c>
      <c r="U217" s="1" t="s">
        <v>96</v>
      </c>
      <c r="V217" s="11">
        <v>0.05</v>
      </c>
      <c r="W217" s="1">
        <f>+INICIO!$C$34</f>
        <v>2014</v>
      </c>
      <c r="X217" s="1" t="str">
        <f>+INICIO!$B$32</f>
        <v>LATIFOLIADO</v>
      </c>
      <c r="Y217" s="50" t="str">
        <f t="shared" si="25"/>
        <v>DEJAR</v>
      </c>
      <c r="Z217" s="50" t="str">
        <f t="shared" si="26"/>
        <v>DEJAR</v>
      </c>
      <c r="AA217" s="50" t="str">
        <f t="shared" si="27"/>
        <v>DEJAR</v>
      </c>
      <c r="AB217" s="50" t="str">
        <f t="shared" si="28"/>
        <v>DEJAR</v>
      </c>
      <c r="AC217" s="52">
        <f t="shared" si="29"/>
        <v>2.5446900494077322E-2</v>
      </c>
      <c r="AD217" s="52">
        <f t="shared" si="30"/>
        <v>0.50893800988154636</v>
      </c>
      <c r="AE217" s="52">
        <f>+IF(X217=INICIO!$B$31,0.15991*D217^2.32764,AND(X217=INICIO!$B$32)*0.13657*D217^2.38351)</f>
        <v>134.06329154071116</v>
      </c>
      <c r="AF217" s="52">
        <f t="shared" si="31"/>
        <v>2681.2658308142231</v>
      </c>
      <c r="AG217" s="52">
        <f>+AE217/1000*INICIO!$D$50</f>
        <v>6.3009747024134241E-2</v>
      </c>
      <c r="AH217" s="52">
        <f>+AF217/1000*INICIO!$D$50</f>
        <v>1.2601949404826847</v>
      </c>
      <c r="AI217" s="55">
        <f>+IF(X217=INICIO!$B$31,IF(D217&lt;=82,0.15991*D217^2.32764, 0.15991*82^2.32764),AND(X217=INICIO!$B$32)*IF(D217&lt;=79.9,0.13657*D217^2.38351,0.13657*79.9^2.38351))</f>
        <v>134.06329154071116</v>
      </c>
      <c r="AJ217" s="56">
        <f t="shared" si="32"/>
        <v>2681.2658308142231</v>
      </c>
      <c r="AK217" s="56">
        <f>+AI217/1000*INICIO!$D$50</f>
        <v>6.3009747024134241E-2</v>
      </c>
      <c r="AL217" s="56">
        <f>+AJ217/1000*INICIO!$D$50</f>
        <v>1.2601949404826847</v>
      </c>
      <c r="AM217" s="57" t="str">
        <f>+INICIO!$C$30</f>
        <v>UVG_B_Kg</v>
      </c>
    </row>
    <row r="218" spans="1:39" ht="15" x14ac:dyDescent="0.25">
      <c r="A218" s="24">
        <v>18</v>
      </c>
      <c r="B218" s="25">
        <f>'1BASE'!A218</f>
        <v>3</v>
      </c>
      <c r="C218" s="24" t="str">
        <f>'1BASE'!B218</f>
        <v xml:space="preserve">Santa  maria </v>
      </c>
      <c r="D218" s="26">
        <f>'1BASE'!C218</f>
        <v>22.5</v>
      </c>
      <c r="E218" s="27">
        <f>'1BASE'!D218</f>
        <v>60</v>
      </c>
      <c r="F218" s="27">
        <f>'1BASE'!E218</f>
        <v>50</v>
      </c>
      <c r="G218" s="27">
        <f t="shared" si="24"/>
        <v>58.476088003261737</v>
      </c>
      <c r="H218" s="26">
        <f>'1BASE'!F218</f>
        <v>2.6</v>
      </c>
      <c r="I218" s="24">
        <f>'1BASE'!G218</f>
        <v>0</v>
      </c>
      <c r="J218" s="24">
        <f>'1BASE'!H218</f>
        <v>0</v>
      </c>
      <c r="K218" s="24"/>
      <c r="L218" s="24"/>
      <c r="M218" s="24"/>
      <c r="N218" s="24"/>
      <c r="O218" s="24"/>
      <c r="P218" s="24"/>
      <c r="Q218" s="24"/>
      <c r="R218" s="24"/>
      <c r="S218" s="5"/>
      <c r="T218" s="5"/>
      <c r="U218" s="1" t="s">
        <v>96</v>
      </c>
      <c r="V218" s="11">
        <v>0.05</v>
      </c>
      <c r="W218" s="1">
        <f>+INICIO!$C$34</f>
        <v>2014</v>
      </c>
      <c r="X218" s="1" t="str">
        <f>+INICIO!$B$32</f>
        <v>LATIFOLIADO</v>
      </c>
      <c r="Y218" s="50" t="str">
        <f t="shared" si="25"/>
        <v>DEJAR</v>
      </c>
      <c r="Z218" s="50" t="str">
        <f t="shared" si="26"/>
        <v>DEJAR</v>
      </c>
      <c r="AA218" s="50" t="str">
        <f t="shared" si="27"/>
        <v>DEJAR</v>
      </c>
      <c r="AB218" s="50" t="str">
        <f t="shared" si="28"/>
        <v>DEJAR</v>
      </c>
      <c r="AC218" s="52">
        <f t="shared" si="29"/>
        <v>3.9760782021995823E-2</v>
      </c>
      <c r="AD218" s="52">
        <f t="shared" si="30"/>
        <v>0.79521564043991644</v>
      </c>
      <c r="AE218" s="52">
        <f>+IF(X218=INICIO!$B$31,0.15991*D218^2.32764,AND(X218=INICIO!$B$32)*0.13657*D218^2.38351)</f>
        <v>228.1896084504572</v>
      </c>
      <c r="AF218" s="52">
        <f t="shared" si="31"/>
        <v>4563.7921690091434</v>
      </c>
      <c r="AG218" s="52">
        <f>+AE218/1000*INICIO!$D$50</f>
        <v>0.10724911597171487</v>
      </c>
      <c r="AH218" s="52">
        <f>+AF218/1000*INICIO!$D$50</f>
        <v>2.1449823194342974</v>
      </c>
      <c r="AI218" s="55">
        <f>+IF(X218=INICIO!$B$31,IF(D218&lt;=82,0.15991*D218^2.32764, 0.15991*82^2.32764),AND(X218=INICIO!$B$32)*IF(D218&lt;=79.9,0.13657*D218^2.38351,0.13657*79.9^2.38351))</f>
        <v>228.1896084504572</v>
      </c>
      <c r="AJ218" s="56">
        <f t="shared" si="32"/>
        <v>4563.7921690091434</v>
      </c>
      <c r="AK218" s="56">
        <f>+AI218/1000*INICIO!$D$50</f>
        <v>0.10724911597171487</v>
      </c>
      <c r="AL218" s="56">
        <f>+AJ218/1000*INICIO!$D$50</f>
        <v>2.1449823194342974</v>
      </c>
      <c r="AM218" s="57" t="str">
        <f>+INICIO!$C$30</f>
        <v>UVG_B_Kg</v>
      </c>
    </row>
    <row r="219" spans="1:39" ht="15" x14ac:dyDescent="0.25">
      <c r="A219" s="24">
        <v>18</v>
      </c>
      <c r="B219" s="25">
        <f>'1BASE'!A219</f>
        <v>4</v>
      </c>
      <c r="C219" s="27">
        <f>'1BASE'!B219</f>
        <v>0</v>
      </c>
      <c r="D219" s="26">
        <f>'1BASE'!C219</f>
        <v>12</v>
      </c>
      <c r="E219" s="27">
        <f>'1BASE'!D219</f>
        <v>60</v>
      </c>
      <c r="F219" s="27">
        <f>'1BASE'!E219</f>
        <v>55</v>
      </c>
      <c r="G219" s="27">
        <f t="shared" si="24"/>
        <v>63.203976286219827</v>
      </c>
      <c r="H219" s="26">
        <f>'1BASE'!F219</f>
        <v>1.75</v>
      </c>
      <c r="I219" s="24">
        <f>'1BASE'!G219</f>
        <v>0</v>
      </c>
      <c r="J219" s="24">
        <f>'1BASE'!H219</f>
        <v>0</v>
      </c>
      <c r="K219" s="24"/>
      <c r="L219" s="24"/>
      <c r="M219" s="24"/>
      <c r="N219" s="24"/>
      <c r="O219" s="24"/>
      <c r="P219" s="24"/>
      <c r="Q219" s="24"/>
      <c r="R219" s="24"/>
      <c r="S219" s="5"/>
      <c r="T219" s="5"/>
      <c r="U219" s="1" t="s">
        <v>96</v>
      </c>
      <c r="V219" s="11">
        <v>0.05</v>
      </c>
      <c r="W219" s="1">
        <f>+INICIO!$C$34</f>
        <v>2014</v>
      </c>
      <c r="X219" s="1" t="str">
        <f>+INICIO!$B$32</f>
        <v>LATIFOLIADO</v>
      </c>
      <c r="Y219" s="50" t="str">
        <f t="shared" si="25"/>
        <v>DEJAR</v>
      </c>
      <c r="Z219" s="50" t="str">
        <f t="shared" si="26"/>
        <v>DEJAR</v>
      </c>
      <c r="AA219" s="50" t="str">
        <f t="shared" si="27"/>
        <v>DEJAR</v>
      </c>
      <c r="AB219" s="50" t="str">
        <f t="shared" si="28"/>
        <v>DEJAR</v>
      </c>
      <c r="AC219" s="52">
        <f t="shared" si="29"/>
        <v>1.1309733552923255E-2</v>
      </c>
      <c r="AD219" s="52">
        <f t="shared" si="30"/>
        <v>0.22619467105846508</v>
      </c>
      <c r="AE219" s="52">
        <f>+IF(X219=INICIO!$B$31,0.15991*D219^2.32764,AND(X219=INICIO!$B$32)*0.13657*D219^2.38351)</f>
        <v>51.002868362482175</v>
      </c>
      <c r="AF219" s="52">
        <f t="shared" si="31"/>
        <v>1020.0573672496434</v>
      </c>
      <c r="AG219" s="52">
        <f>+AE219/1000*INICIO!$D$50</f>
        <v>2.397134813036662E-2</v>
      </c>
      <c r="AH219" s="52">
        <f>+AF219/1000*INICIO!$D$50</f>
        <v>0.47942696260733236</v>
      </c>
      <c r="AI219" s="55">
        <f>+IF(X219=INICIO!$B$31,IF(D219&lt;=82,0.15991*D219^2.32764, 0.15991*82^2.32764),AND(X219=INICIO!$B$32)*IF(D219&lt;=79.9,0.13657*D219^2.38351,0.13657*79.9^2.38351))</f>
        <v>51.002868362482175</v>
      </c>
      <c r="AJ219" s="56">
        <f t="shared" si="32"/>
        <v>1020.0573672496434</v>
      </c>
      <c r="AK219" s="56">
        <f>+AI219/1000*INICIO!$D$50</f>
        <v>2.397134813036662E-2</v>
      </c>
      <c r="AL219" s="56">
        <f>+AJ219/1000*INICIO!$D$50</f>
        <v>0.47942696260733236</v>
      </c>
      <c r="AM219" s="57" t="str">
        <f>+INICIO!$C$30</f>
        <v>UVG_B_Kg</v>
      </c>
    </row>
    <row r="220" spans="1:39" ht="15" x14ac:dyDescent="0.25">
      <c r="A220" s="24">
        <v>18</v>
      </c>
      <c r="B220" s="25">
        <f>'1BASE'!A220</f>
        <v>5</v>
      </c>
      <c r="C220" s="24">
        <f>'1BASE'!B220</f>
        <v>0</v>
      </c>
      <c r="D220" s="26">
        <f>'1BASE'!C220</f>
        <v>22.5</v>
      </c>
      <c r="E220" s="27">
        <f>'1BASE'!D220</f>
        <v>55</v>
      </c>
      <c r="F220" s="27">
        <f>'1BASE'!E220</f>
        <v>50</v>
      </c>
      <c r="G220" s="27">
        <f t="shared" si="24"/>
        <v>52.398031986726494</v>
      </c>
      <c r="H220" s="26">
        <f>'1BASE'!F220</f>
        <v>4</v>
      </c>
      <c r="I220" s="24">
        <f>'1BASE'!G220</f>
        <v>0</v>
      </c>
      <c r="J220" s="24">
        <f>'1BASE'!H220</f>
        <v>0</v>
      </c>
      <c r="K220" s="24"/>
      <c r="L220" s="24"/>
      <c r="M220" s="24"/>
      <c r="N220" s="24"/>
      <c r="O220" s="24"/>
      <c r="P220" s="24"/>
      <c r="Q220" s="24"/>
      <c r="R220" s="24"/>
      <c r="S220" s="5"/>
      <c r="T220" s="5"/>
      <c r="U220" s="1" t="s">
        <v>96</v>
      </c>
      <c r="V220" s="11">
        <v>0.05</v>
      </c>
      <c r="W220" s="1">
        <f>+INICIO!$C$34</f>
        <v>2014</v>
      </c>
      <c r="X220" s="1" t="str">
        <f>+INICIO!$B$32</f>
        <v>LATIFOLIADO</v>
      </c>
      <c r="Y220" s="50" t="str">
        <f t="shared" si="25"/>
        <v>DEJAR</v>
      </c>
      <c r="Z220" s="50" t="str">
        <f t="shared" si="26"/>
        <v>DEJAR</v>
      </c>
      <c r="AA220" s="50" t="str">
        <f t="shared" si="27"/>
        <v>DEJAR</v>
      </c>
      <c r="AB220" s="50" t="str">
        <f t="shared" si="28"/>
        <v>DEJAR</v>
      </c>
      <c r="AC220" s="52">
        <f t="shared" si="29"/>
        <v>3.9760782021995823E-2</v>
      </c>
      <c r="AD220" s="52">
        <f t="shared" si="30"/>
        <v>0.79521564043991644</v>
      </c>
      <c r="AE220" s="52">
        <f>+IF(X220=INICIO!$B$31,0.15991*D220^2.32764,AND(X220=INICIO!$B$32)*0.13657*D220^2.38351)</f>
        <v>228.1896084504572</v>
      </c>
      <c r="AF220" s="52">
        <f t="shared" si="31"/>
        <v>4563.7921690091434</v>
      </c>
      <c r="AG220" s="52">
        <f>+AE220/1000*INICIO!$D$50</f>
        <v>0.10724911597171487</v>
      </c>
      <c r="AH220" s="52">
        <f>+AF220/1000*INICIO!$D$50</f>
        <v>2.1449823194342974</v>
      </c>
      <c r="AI220" s="55">
        <f>+IF(X220=INICIO!$B$31,IF(D220&lt;=82,0.15991*D220^2.32764, 0.15991*82^2.32764),AND(X220=INICIO!$B$32)*IF(D220&lt;=79.9,0.13657*D220^2.38351,0.13657*79.9^2.38351))</f>
        <v>228.1896084504572</v>
      </c>
      <c r="AJ220" s="56">
        <f t="shared" si="32"/>
        <v>4563.7921690091434</v>
      </c>
      <c r="AK220" s="56">
        <f>+AI220/1000*INICIO!$D$50</f>
        <v>0.10724911597171487</v>
      </c>
      <c r="AL220" s="56">
        <f>+AJ220/1000*INICIO!$D$50</f>
        <v>2.1449823194342974</v>
      </c>
      <c r="AM220" s="57" t="str">
        <f>+INICIO!$C$30</f>
        <v>UVG_B_Kg</v>
      </c>
    </row>
    <row r="221" spans="1:39" ht="15" x14ac:dyDescent="0.25">
      <c r="A221" s="24">
        <v>18</v>
      </c>
      <c r="B221" s="25">
        <f>'1BASE'!A221</f>
        <v>6</v>
      </c>
      <c r="C221" s="24">
        <f>'1BASE'!B221</f>
        <v>0</v>
      </c>
      <c r="D221" s="26">
        <f>'1BASE'!C221</f>
        <v>37</v>
      </c>
      <c r="E221" s="27">
        <f>'1BASE'!D221</f>
        <v>45</v>
      </c>
      <c r="F221" s="27">
        <f>'1BASE'!E221</f>
        <v>90</v>
      </c>
      <c r="G221" s="32">
        <f t="shared" si="24"/>
        <v>3.2649104555238144E+17</v>
      </c>
      <c r="H221" s="26">
        <f>'1BASE'!F221</f>
        <v>7</v>
      </c>
      <c r="I221" s="24">
        <f>'1BASE'!G221</f>
        <v>0</v>
      </c>
      <c r="J221" s="24">
        <f>'1BASE'!H221</f>
        <v>0</v>
      </c>
      <c r="K221" s="24"/>
      <c r="L221" s="24"/>
      <c r="M221" s="24"/>
      <c r="N221" s="24"/>
      <c r="O221" s="24"/>
      <c r="P221" s="24"/>
      <c r="Q221" s="24"/>
      <c r="R221" s="24"/>
      <c r="S221" s="5"/>
      <c r="T221" s="5"/>
      <c r="U221" s="1" t="s">
        <v>96</v>
      </c>
      <c r="V221" s="11">
        <v>0.05</v>
      </c>
      <c r="W221" s="1">
        <f>+INICIO!$C$34</f>
        <v>2014</v>
      </c>
      <c r="X221" s="1" t="str">
        <f>+INICIO!$B$32</f>
        <v>LATIFOLIADO</v>
      </c>
      <c r="Y221" s="50" t="str">
        <f t="shared" si="25"/>
        <v>DEJAR</v>
      </c>
      <c r="Z221" s="50" t="str">
        <f t="shared" si="26"/>
        <v>DEJAR</v>
      </c>
      <c r="AA221" s="50" t="str">
        <f t="shared" si="27"/>
        <v>DEJAR</v>
      </c>
      <c r="AB221" s="50" t="str">
        <f t="shared" si="28"/>
        <v>DEJAR</v>
      </c>
      <c r="AC221" s="52">
        <f t="shared" si="29"/>
        <v>0.10752100856911066</v>
      </c>
      <c r="AD221" s="52">
        <f t="shared" si="30"/>
        <v>2.1504201713822133</v>
      </c>
      <c r="AE221" s="52">
        <f>+IF(X221=INICIO!$B$31,0.15991*D221^2.32764,AND(X221=INICIO!$B$32)*0.13657*D221^2.38351)</f>
        <v>746.75785703016243</v>
      </c>
      <c r="AF221" s="52">
        <f t="shared" si="31"/>
        <v>14935.157140603247</v>
      </c>
      <c r="AG221" s="52">
        <f>+AE221/1000*INICIO!$D$50</f>
        <v>0.3509761928041763</v>
      </c>
      <c r="AH221" s="52">
        <f>+AF221/1000*INICIO!$D$50</f>
        <v>7.0195238560835254</v>
      </c>
      <c r="AI221" s="55">
        <f>+IF(X221=INICIO!$B$31,IF(D221&lt;=82,0.15991*D221^2.32764, 0.15991*82^2.32764),AND(X221=INICIO!$B$32)*IF(D221&lt;=79.9,0.13657*D221^2.38351,0.13657*79.9^2.38351))</f>
        <v>746.75785703016243</v>
      </c>
      <c r="AJ221" s="56">
        <f t="shared" si="32"/>
        <v>14935.157140603247</v>
      </c>
      <c r="AK221" s="56">
        <f>+AI221/1000*INICIO!$D$50</f>
        <v>0.3509761928041763</v>
      </c>
      <c r="AL221" s="56">
        <f>+AJ221/1000*INICIO!$D$50</f>
        <v>7.0195238560835254</v>
      </c>
      <c r="AM221" s="57" t="str">
        <f>+INICIO!$C$30</f>
        <v>UVG_B_Kg</v>
      </c>
    </row>
    <row r="222" spans="1:39" ht="15" x14ac:dyDescent="0.25">
      <c r="A222" s="24">
        <v>19</v>
      </c>
      <c r="B222" s="25">
        <f>'1BASE'!A222</f>
        <v>1</v>
      </c>
      <c r="C222" s="24" t="str">
        <f>'1BASE'!B222</f>
        <v>Santa maria</v>
      </c>
      <c r="D222" s="26">
        <f>'1BASE'!C222</f>
        <v>52</v>
      </c>
      <c r="E222" s="27">
        <f>'1BASE'!D222</f>
        <v>35</v>
      </c>
      <c r="F222" s="27">
        <f>'1BASE'!E222</f>
        <v>140</v>
      </c>
      <c r="G222" s="32">
        <f t="shared" si="24"/>
        <v>-2.7778418593514154</v>
      </c>
      <c r="H222" s="26">
        <f>'1BASE'!F222</f>
        <v>9</v>
      </c>
      <c r="I222" s="22" t="str">
        <f>'1BASE'!G222</f>
        <v>X</v>
      </c>
      <c r="J222" s="22" t="str">
        <f>'1BASE'!H222</f>
        <v>Y</v>
      </c>
      <c r="K222" s="24"/>
      <c r="L222" s="24"/>
      <c r="M222" s="24"/>
      <c r="N222" s="24"/>
      <c r="O222" s="24"/>
      <c r="P222" s="24"/>
      <c r="Q222" s="24"/>
      <c r="R222" s="24"/>
      <c r="S222" s="5"/>
      <c r="T222" s="5"/>
      <c r="U222" s="1" t="s">
        <v>96</v>
      </c>
      <c r="V222" s="11">
        <v>0.05</v>
      </c>
      <c r="W222" s="1">
        <f>+INICIO!$C$34</f>
        <v>2014</v>
      </c>
      <c r="X222" s="1" t="str">
        <f>+INICIO!$B$32</f>
        <v>LATIFOLIADO</v>
      </c>
      <c r="Y222" s="50" t="str">
        <f t="shared" si="25"/>
        <v>DEJAR</v>
      </c>
      <c r="Z222" s="50" t="str">
        <f t="shared" si="26"/>
        <v>DEJAR</v>
      </c>
      <c r="AA222" s="50" t="str">
        <f t="shared" si="27"/>
        <v>DEJAR</v>
      </c>
      <c r="AB222" s="50" t="str">
        <f t="shared" si="28"/>
        <v>DEJAR</v>
      </c>
      <c r="AC222" s="52">
        <f t="shared" si="29"/>
        <v>0.21237166338267005</v>
      </c>
      <c r="AD222" s="52">
        <f t="shared" si="30"/>
        <v>4.2474332676534008</v>
      </c>
      <c r="AE222" s="52">
        <f>+IF(X222=INICIO!$B$31,0.15991*D222^2.32764,AND(X222=INICIO!$B$32)*0.13657*D222^2.38351)</f>
        <v>1680.6080482279649</v>
      </c>
      <c r="AF222" s="52">
        <f t="shared" si="31"/>
        <v>33612.160964559298</v>
      </c>
      <c r="AG222" s="52">
        <f>+AE222/1000*INICIO!$D$50</f>
        <v>0.78988578266714338</v>
      </c>
      <c r="AH222" s="52">
        <f>+AF222/1000*INICIO!$D$50</f>
        <v>15.79771565334287</v>
      </c>
      <c r="AI222" s="55">
        <f>+IF(X222=INICIO!$B$31,IF(D222&lt;=82,0.15991*D222^2.32764, 0.15991*82^2.32764),AND(X222=INICIO!$B$32)*IF(D222&lt;=79.9,0.13657*D222^2.38351,0.13657*79.9^2.38351))</f>
        <v>1680.6080482279649</v>
      </c>
      <c r="AJ222" s="56">
        <f t="shared" si="32"/>
        <v>33612.160964559298</v>
      </c>
      <c r="AK222" s="56">
        <f>+AI222/1000*INICIO!$D$50</f>
        <v>0.78988578266714338</v>
      </c>
      <c r="AL222" s="56">
        <f>+AJ222/1000*INICIO!$D$50</f>
        <v>15.79771565334287</v>
      </c>
      <c r="AM222" s="57" t="str">
        <f>+INICIO!$C$30</f>
        <v>UVG_B_Kg</v>
      </c>
    </row>
    <row r="223" spans="1:39" ht="15" x14ac:dyDescent="0.25">
      <c r="A223" s="24">
        <v>19</v>
      </c>
      <c r="B223" s="25">
        <f>'1BASE'!A223</f>
        <v>2</v>
      </c>
      <c r="C223" s="24" t="str">
        <f>'1BASE'!B223</f>
        <v>Guarumo</v>
      </c>
      <c r="D223" s="26">
        <f>'1BASE'!C223</f>
        <v>22.5</v>
      </c>
      <c r="E223" s="27">
        <f>'1BASE'!D223</f>
        <v>30</v>
      </c>
      <c r="F223" s="27">
        <f>'1BASE'!E223</f>
        <v>80</v>
      </c>
      <c r="G223" s="27">
        <f t="shared" si="24"/>
        <v>124.97264177614665</v>
      </c>
      <c r="H223" s="26">
        <f>'1BASE'!F223</f>
        <v>4</v>
      </c>
      <c r="I223" s="22" t="str">
        <f>'1BASE'!G223</f>
        <v>88° 38' 49.3''</v>
      </c>
      <c r="J223" s="22" t="str">
        <f>'1BASE'!H223</f>
        <v>15° 41' 0.2''</v>
      </c>
      <c r="K223" s="24" t="str">
        <f>LEFT(I223,2)</f>
        <v>88</v>
      </c>
      <c r="L223" s="24" t="str">
        <f>+LEFT(RIGHT(I223,10),2)</f>
        <v>38</v>
      </c>
      <c r="M223" s="24" t="str">
        <f>+LEFT(RIGHT(I223,6),4)</f>
        <v>49.3</v>
      </c>
      <c r="N223" s="24">
        <f>(K223+((L223+(M223/60)/60)/60))*-1</f>
        <v>-88.633561574074079</v>
      </c>
      <c r="O223" s="24" t="str">
        <f>LEFT(J223,2)</f>
        <v>15</v>
      </c>
      <c r="P223" s="24" t="str">
        <f>+LEFT(RIGHT(J223,9),2)</f>
        <v>41</v>
      </c>
      <c r="Q223" s="24" t="str">
        <f>+LEFT(RIGHT(J223,6),4)</f>
        <v xml:space="preserve"> 0.2</v>
      </c>
      <c r="R223" s="24">
        <f>O223+((P223+(Q223/60)/60)/60)</f>
        <v>15.68333425925926</v>
      </c>
      <c r="S223" s="11">
        <v>700075.09594399994</v>
      </c>
      <c r="T223" s="11">
        <v>1735136.1481399999</v>
      </c>
      <c r="U223" s="1" t="s">
        <v>96</v>
      </c>
      <c r="V223" s="11">
        <v>0.05</v>
      </c>
      <c r="W223" s="1">
        <f>+INICIO!$C$34</f>
        <v>2014</v>
      </c>
      <c r="X223" s="1" t="str">
        <f>+INICIO!$B$32</f>
        <v>LATIFOLIADO</v>
      </c>
      <c r="Y223" s="50" t="str">
        <f t="shared" si="25"/>
        <v>DEJAR</v>
      </c>
      <c r="Z223" s="50" t="str">
        <f t="shared" si="26"/>
        <v>DEJAR</v>
      </c>
      <c r="AA223" s="50" t="str">
        <f t="shared" si="27"/>
        <v>DEJAR</v>
      </c>
      <c r="AB223" s="50" t="str">
        <f t="shared" si="28"/>
        <v>DEJAR</v>
      </c>
      <c r="AC223" s="52">
        <f t="shared" si="29"/>
        <v>3.9760782021995823E-2</v>
      </c>
      <c r="AD223" s="52">
        <f t="shared" si="30"/>
        <v>0.79521564043991644</v>
      </c>
      <c r="AE223" s="52">
        <f>+IF(X223=INICIO!$B$31,0.15991*D223^2.32764,AND(X223=INICIO!$B$32)*0.13657*D223^2.38351)</f>
        <v>228.1896084504572</v>
      </c>
      <c r="AF223" s="52">
        <f t="shared" si="31"/>
        <v>4563.7921690091434</v>
      </c>
      <c r="AG223" s="52">
        <f>+AE223/1000*INICIO!$D$50</f>
        <v>0.10724911597171487</v>
      </c>
      <c r="AH223" s="52">
        <f>+AF223/1000*INICIO!$D$50</f>
        <v>2.1449823194342974</v>
      </c>
      <c r="AI223" s="55">
        <f>+IF(X223=INICIO!$B$31,IF(D223&lt;=82,0.15991*D223^2.32764, 0.15991*82^2.32764),AND(X223=INICIO!$B$32)*IF(D223&lt;=79.9,0.13657*D223^2.38351,0.13657*79.9^2.38351))</f>
        <v>228.1896084504572</v>
      </c>
      <c r="AJ223" s="56">
        <f t="shared" si="32"/>
        <v>4563.7921690091434</v>
      </c>
      <c r="AK223" s="56">
        <f>+AI223/1000*INICIO!$D$50</f>
        <v>0.10724911597171487</v>
      </c>
      <c r="AL223" s="56">
        <f>+AJ223/1000*INICIO!$D$50</f>
        <v>2.1449823194342974</v>
      </c>
      <c r="AM223" s="57" t="str">
        <f>+INICIO!$C$30</f>
        <v>UVG_B_Kg</v>
      </c>
    </row>
    <row r="224" spans="1:39" ht="15" x14ac:dyDescent="0.25">
      <c r="A224" s="24">
        <v>19</v>
      </c>
      <c r="B224" s="25">
        <f>'1BASE'!A224</f>
        <v>3</v>
      </c>
      <c r="C224" s="24" t="str">
        <f>'1BASE'!B224</f>
        <v>Guarumo</v>
      </c>
      <c r="D224" s="26">
        <f>'1BASE'!C224</f>
        <v>23</v>
      </c>
      <c r="E224" s="27">
        <f>'1BASE'!D224</f>
        <v>25</v>
      </c>
      <c r="F224" s="27">
        <f>'1BASE'!E224</f>
        <v>80</v>
      </c>
      <c r="G224" s="27">
        <f t="shared" si="24"/>
        <v>122.75178955545411</v>
      </c>
      <c r="H224" s="26">
        <f>'1BASE'!F224</f>
        <v>3</v>
      </c>
      <c r="I224" s="24">
        <f>'1BASE'!G224</f>
        <v>0</v>
      </c>
      <c r="J224" s="24">
        <f>'1BASE'!H224</f>
        <v>0</v>
      </c>
      <c r="K224" s="24"/>
      <c r="L224" s="24"/>
      <c r="M224" s="24"/>
      <c r="N224" s="24"/>
      <c r="O224" s="24"/>
      <c r="P224" s="24"/>
      <c r="Q224" s="24"/>
      <c r="R224" s="24"/>
      <c r="S224" s="5"/>
      <c r="T224" s="5"/>
      <c r="U224" s="1" t="s">
        <v>96</v>
      </c>
      <c r="V224" s="11">
        <v>0.05</v>
      </c>
      <c r="W224" s="1">
        <f>+INICIO!$C$34</f>
        <v>2014</v>
      </c>
      <c r="X224" s="1" t="str">
        <f>+INICIO!$B$32</f>
        <v>LATIFOLIADO</v>
      </c>
      <c r="Y224" s="50" t="str">
        <f t="shared" si="25"/>
        <v>DEJAR</v>
      </c>
      <c r="Z224" s="50" t="str">
        <f t="shared" si="26"/>
        <v>DEJAR</v>
      </c>
      <c r="AA224" s="50" t="str">
        <f t="shared" si="27"/>
        <v>DEJAR</v>
      </c>
      <c r="AB224" s="50" t="str">
        <f t="shared" si="28"/>
        <v>DEJAR</v>
      </c>
      <c r="AC224" s="52">
        <f t="shared" si="29"/>
        <v>4.1547562843725017E-2</v>
      </c>
      <c r="AD224" s="52">
        <f t="shared" si="30"/>
        <v>0.83095125687450033</v>
      </c>
      <c r="AE224" s="52">
        <f>+IF(X224=INICIO!$B$31,0.15991*D224^2.32764,AND(X224=INICIO!$B$32)*0.13657*D224^2.38351)</f>
        <v>240.46242571758225</v>
      </c>
      <c r="AF224" s="52">
        <f t="shared" si="31"/>
        <v>4809.2485143516451</v>
      </c>
      <c r="AG224" s="52">
        <f>+AE224/1000*INICIO!$D$50</f>
        <v>0.11301734008726365</v>
      </c>
      <c r="AH224" s="52">
        <f>+AF224/1000*INICIO!$D$50</f>
        <v>2.260346801745273</v>
      </c>
      <c r="AI224" s="55">
        <f>+IF(X224=INICIO!$B$31,IF(D224&lt;=82,0.15991*D224^2.32764, 0.15991*82^2.32764),AND(X224=INICIO!$B$32)*IF(D224&lt;=79.9,0.13657*D224^2.38351,0.13657*79.9^2.38351))</f>
        <v>240.46242571758225</v>
      </c>
      <c r="AJ224" s="56">
        <f t="shared" si="32"/>
        <v>4809.2485143516451</v>
      </c>
      <c r="AK224" s="56">
        <f>+AI224/1000*INICIO!$D$50</f>
        <v>0.11301734008726365</v>
      </c>
      <c r="AL224" s="56">
        <f>+AJ224/1000*INICIO!$D$50</f>
        <v>2.260346801745273</v>
      </c>
      <c r="AM224" s="57" t="str">
        <f>+INICIO!$C$30</f>
        <v>UVG_B_Kg</v>
      </c>
    </row>
    <row r="225" spans="1:39" ht="15" x14ac:dyDescent="0.25">
      <c r="A225" s="24">
        <v>19</v>
      </c>
      <c r="B225" s="25">
        <f>'1BASE'!A225</f>
        <v>4</v>
      </c>
      <c r="C225" s="27">
        <f>'1BASE'!B225</f>
        <v>0</v>
      </c>
      <c r="D225" s="26">
        <f>'1BASE'!C225</f>
        <v>17.5</v>
      </c>
      <c r="E225" s="27">
        <f>'1BASE'!D225</f>
        <v>35</v>
      </c>
      <c r="F225" s="27">
        <f>'1BASE'!E225</f>
        <v>70</v>
      </c>
      <c r="G225" s="27">
        <f t="shared" si="24"/>
        <v>68.953699153286635</v>
      </c>
      <c r="H225" s="26">
        <f>'1BASE'!F225</f>
        <v>3</v>
      </c>
      <c r="I225" s="24">
        <f>'1BASE'!G225</f>
        <v>0</v>
      </c>
      <c r="J225" s="24">
        <f>'1BASE'!H225</f>
        <v>0</v>
      </c>
      <c r="K225" s="24"/>
      <c r="L225" s="24"/>
      <c r="M225" s="24"/>
      <c r="N225" s="24"/>
      <c r="O225" s="24"/>
      <c r="P225" s="24"/>
      <c r="Q225" s="24"/>
      <c r="R225" s="24"/>
      <c r="S225" s="5"/>
      <c r="T225" s="5"/>
      <c r="U225" s="1" t="s">
        <v>96</v>
      </c>
      <c r="V225" s="11">
        <v>0.05</v>
      </c>
      <c r="W225" s="1">
        <f>+INICIO!$C$34</f>
        <v>2014</v>
      </c>
      <c r="X225" s="1" t="str">
        <f>+INICIO!$B$32</f>
        <v>LATIFOLIADO</v>
      </c>
      <c r="Y225" s="50" t="str">
        <f t="shared" si="25"/>
        <v>DEJAR</v>
      </c>
      <c r="Z225" s="50" t="str">
        <f t="shared" si="26"/>
        <v>DEJAR</v>
      </c>
      <c r="AA225" s="50" t="str">
        <f t="shared" si="27"/>
        <v>DEJAR</v>
      </c>
      <c r="AB225" s="50" t="str">
        <f t="shared" si="28"/>
        <v>DEJAR</v>
      </c>
      <c r="AC225" s="52">
        <f t="shared" si="29"/>
        <v>2.4052818754046849E-2</v>
      </c>
      <c r="AD225" s="52">
        <f t="shared" si="30"/>
        <v>0.48105637508093696</v>
      </c>
      <c r="AE225" s="52">
        <f>+IF(X225=INICIO!$B$31,0.15991*D225^2.32764,AND(X225=INICIO!$B$32)*0.13657*D225^2.38351)</f>
        <v>125.35709774458586</v>
      </c>
      <c r="AF225" s="52">
        <f t="shared" si="31"/>
        <v>2507.141954891717</v>
      </c>
      <c r="AG225" s="52">
        <f>+AE225/1000*INICIO!$D$50</f>
        <v>5.8917835939955351E-2</v>
      </c>
      <c r="AH225" s="52">
        <f>+AF225/1000*INICIO!$D$50</f>
        <v>1.1783567187991069</v>
      </c>
      <c r="AI225" s="55">
        <f>+IF(X225=INICIO!$B$31,IF(D225&lt;=82,0.15991*D225^2.32764, 0.15991*82^2.32764),AND(X225=INICIO!$B$32)*IF(D225&lt;=79.9,0.13657*D225^2.38351,0.13657*79.9^2.38351))</f>
        <v>125.35709774458586</v>
      </c>
      <c r="AJ225" s="56">
        <f t="shared" si="32"/>
        <v>2507.141954891717</v>
      </c>
      <c r="AK225" s="56">
        <f>+AI225/1000*INICIO!$D$50</f>
        <v>5.8917835939955351E-2</v>
      </c>
      <c r="AL225" s="56">
        <f>+AJ225/1000*INICIO!$D$50</f>
        <v>1.1783567187991069</v>
      </c>
      <c r="AM225" s="57" t="str">
        <f>+INICIO!$C$30</f>
        <v>UVG_B_Kg</v>
      </c>
    </row>
    <row r="226" spans="1:39" ht="15" x14ac:dyDescent="0.25">
      <c r="A226" s="24">
        <v>19</v>
      </c>
      <c r="B226" s="25">
        <f>'1BASE'!A226</f>
        <v>5</v>
      </c>
      <c r="C226" s="24">
        <f>'1BASE'!B226</f>
        <v>0</v>
      </c>
      <c r="D226" s="26">
        <f>'1BASE'!C226</f>
        <v>70</v>
      </c>
      <c r="E226" s="27">
        <f>'1BASE'!D226</f>
        <v>35</v>
      </c>
      <c r="F226" s="27">
        <f>'1BASE'!E226</f>
        <v>140</v>
      </c>
      <c r="G226" s="32">
        <f t="shared" si="24"/>
        <v>-2.7778418593514154</v>
      </c>
      <c r="H226" s="26">
        <f>'1BASE'!F226</f>
        <v>7</v>
      </c>
      <c r="I226" s="24">
        <f>'1BASE'!G226</f>
        <v>0</v>
      </c>
      <c r="J226" s="24">
        <f>'1BASE'!H226</f>
        <v>0</v>
      </c>
      <c r="K226" s="24"/>
      <c r="L226" s="24"/>
      <c r="M226" s="24"/>
      <c r="N226" s="24"/>
      <c r="O226" s="24"/>
      <c r="P226" s="24"/>
      <c r="Q226" s="24"/>
      <c r="R226" s="24"/>
      <c r="S226" s="5"/>
      <c r="T226" s="5"/>
      <c r="U226" s="1" t="s">
        <v>96</v>
      </c>
      <c r="V226" s="11">
        <v>0.05</v>
      </c>
      <c r="W226" s="1">
        <f>+INICIO!$C$34</f>
        <v>2014</v>
      </c>
      <c r="X226" s="1" t="str">
        <f>+INICIO!$B$32</f>
        <v>LATIFOLIADO</v>
      </c>
      <c r="Y226" s="50" t="str">
        <f t="shared" si="25"/>
        <v>DEJAR</v>
      </c>
      <c r="Z226" s="50" t="str">
        <f t="shared" si="26"/>
        <v>DEJAR</v>
      </c>
      <c r="AA226" s="50" t="str">
        <f t="shared" si="27"/>
        <v>DEJAR</v>
      </c>
      <c r="AB226" s="50" t="str">
        <f t="shared" si="28"/>
        <v>DEJAR</v>
      </c>
      <c r="AC226" s="52">
        <f t="shared" si="29"/>
        <v>0.38484510006474959</v>
      </c>
      <c r="AD226" s="52">
        <f t="shared" si="30"/>
        <v>7.6969020012949914</v>
      </c>
      <c r="AE226" s="52">
        <f>+IF(X226=INICIO!$B$31,0.15991*D226^2.32764,AND(X226=INICIO!$B$32)*0.13657*D226^2.38351)</f>
        <v>3413.2251636463757</v>
      </c>
      <c r="AF226" s="52">
        <f t="shared" si="31"/>
        <v>68264.503272927512</v>
      </c>
      <c r="AG226" s="52">
        <f>+AE226/1000*INICIO!$D$50</f>
        <v>1.6042158269137965</v>
      </c>
      <c r="AH226" s="52">
        <f>+AF226/1000*INICIO!$D$50</f>
        <v>32.084316538275928</v>
      </c>
      <c r="AI226" s="55">
        <f>+IF(X226=INICIO!$B$31,IF(D226&lt;=82,0.15991*D226^2.32764, 0.15991*82^2.32764),AND(X226=INICIO!$B$32)*IF(D226&lt;=79.9,0.13657*D226^2.38351,0.13657*79.9^2.38351))</f>
        <v>3413.2251636463757</v>
      </c>
      <c r="AJ226" s="56">
        <f t="shared" si="32"/>
        <v>68264.503272927512</v>
      </c>
      <c r="AK226" s="56">
        <f>+AI226/1000*INICIO!$D$50</f>
        <v>1.6042158269137965</v>
      </c>
      <c r="AL226" s="56">
        <f>+AJ226/1000*INICIO!$D$50</f>
        <v>32.084316538275928</v>
      </c>
      <c r="AM226" s="57" t="str">
        <f>+INICIO!$C$30</f>
        <v>UVG_B_Kg</v>
      </c>
    </row>
    <row r="227" spans="1:39" ht="15" x14ac:dyDescent="0.25">
      <c r="A227" s="24">
        <v>19</v>
      </c>
      <c r="B227" s="25">
        <f>'1BASE'!A227</f>
        <v>6</v>
      </c>
      <c r="C227" s="24">
        <f>'1BASE'!B227</f>
        <v>0</v>
      </c>
      <c r="D227" s="26">
        <f>'1BASE'!C227</f>
        <v>80</v>
      </c>
      <c r="E227" s="27">
        <f>'1BASE'!D227</f>
        <v>25</v>
      </c>
      <c r="F227" s="27">
        <f>'1BASE'!E227</f>
        <v>130</v>
      </c>
      <c r="G227" s="32">
        <f t="shared" si="24"/>
        <v>-14.508918688784229</v>
      </c>
      <c r="H227" s="26">
        <f>'1BASE'!F227</f>
        <v>7</v>
      </c>
      <c r="I227" s="24">
        <f>'1BASE'!G227</f>
        <v>0</v>
      </c>
      <c r="J227" s="24">
        <f>'1BASE'!H227</f>
        <v>0</v>
      </c>
      <c r="K227" s="24"/>
      <c r="L227" s="24"/>
      <c r="M227" s="24"/>
      <c r="N227" s="24"/>
      <c r="O227" s="24"/>
      <c r="P227" s="24"/>
      <c r="Q227" s="24"/>
      <c r="R227" s="24"/>
      <c r="S227" s="5"/>
      <c r="T227" s="5"/>
      <c r="U227" s="1" t="s">
        <v>96</v>
      </c>
      <c r="V227" s="11">
        <v>0.05</v>
      </c>
      <c r="W227" s="1">
        <f>+INICIO!$C$34</f>
        <v>2014</v>
      </c>
      <c r="X227" s="1" t="str">
        <f>+INICIO!$B$32</f>
        <v>LATIFOLIADO</v>
      </c>
      <c r="Y227" s="50" t="str">
        <f t="shared" si="25"/>
        <v>DEJAR</v>
      </c>
      <c r="Z227" s="50" t="str">
        <f t="shared" si="26"/>
        <v>DEJAR</v>
      </c>
      <c r="AA227" s="50" t="str">
        <f t="shared" si="27"/>
        <v>DEJAR</v>
      </c>
      <c r="AB227" s="50" t="str">
        <f t="shared" si="28"/>
        <v>DEJAR</v>
      </c>
      <c r="AC227" s="52">
        <f t="shared" si="29"/>
        <v>0.50265482457436694</v>
      </c>
      <c r="AD227" s="52">
        <f t="shared" si="30"/>
        <v>10.053096491487338</v>
      </c>
      <c r="AE227" s="52">
        <f>+IF(X227=INICIO!$B$31,0.15991*D227^2.32764,AND(X227=INICIO!$B$32)*0.13657*D227^2.38351)</f>
        <v>4692.3383942985474</v>
      </c>
      <c r="AF227" s="52">
        <f t="shared" si="31"/>
        <v>93846.767885970941</v>
      </c>
      <c r="AG227" s="52">
        <f>+AE227/1000*INICIO!$D$50</f>
        <v>2.2053990453203172</v>
      </c>
      <c r="AH227" s="52">
        <f>+AF227/1000*INICIO!$D$50</f>
        <v>44.10798090640634</v>
      </c>
      <c r="AI227" s="55">
        <f>+IF(X227=INICIO!$B$31,IF(D227&lt;=82,0.15991*D227^2.32764, 0.15991*82^2.32764),AND(X227=INICIO!$B$32)*IF(D227&lt;=79.9,0.13657*D227^2.38351,0.13657*79.9^2.38351))</f>
        <v>4678.370186681871</v>
      </c>
      <c r="AJ227" s="56">
        <f t="shared" si="32"/>
        <v>93567.403733637417</v>
      </c>
      <c r="AK227" s="56">
        <f>+AI227/1000*INICIO!$D$50</f>
        <v>2.1988339877404792</v>
      </c>
      <c r="AL227" s="56">
        <f>+AJ227/1000*INICIO!$D$50</f>
        <v>43.976679754809588</v>
      </c>
      <c r="AM227" s="57" t="str">
        <f>+INICIO!$C$30</f>
        <v>UVG_B_Kg</v>
      </c>
    </row>
    <row r="228" spans="1:39" ht="15" x14ac:dyDescent="0.25">
      <c r="A228" s="24">
        <v>19</v>
      </c>
      <c r="B228" s="25">
        <f>'1BASE'!A228</f>
        <v>7</v>
      </c>
      <c r="C228" s="24">
        <f>'1BASE'!B228</f>
        <v>0</v>
      </c>
      <c r="D228" s="26">
        <f>'1BASE'!C228</f>
        <v>17.3</v>
      </c>
      <c r="E228" s="27">
        <f>'1BASE'!D228</f>
        <v>25</v>
      </c>
      <c r="F228" s="27">
        <f>'1BASE'!E228</f>
        <v>40</v>
      </c>
      <c r="G228" s="27">
        <f t="shared" si="24"/>
        <v>26.108145786645572</v>
      </c>
      <c r="H228" s="26">
        <f>'1BASE'!F228</f>
        <v>2.2999999999999998</v>
      </c>
      <c r="I228" s="24">
        <f>'1BASE'!G228</f>
        <v>0</v>
      </c>
      <c r="J228" s="24">
        <f>'1BASE'!H228</f>
        <v>0</v>
      </c>
      <c r="K228" s="24"/>
      <c r="L228" s="24"/>
      <c r="M228" s="24"/>
      <c r="N228" s="24"/>
      <c r="O228" s="24"/>
      <c r="P228" s="24"/>
      <c r="Q228" s="24"/>
      <c r="R228" s="24"/>
      <c r="S228" s="5"/>
      <c r="T228" s="5"/>
      <c r="U228" s="1" t="s">
        <v>96</v>
      </c>
      <c r="V228" s="11">
        <v>0.05</v>
      </c>
      <c r="W228" s="1">
        <f>+INICIO!$C$34</f>
        <v>2014</v>
      </c>
      <c r="X228" s="1" t="str">
        <f>+INICIO!$B$32</f>
        <v>LATIFOLIADO</v>
      </c>
      <c r="Y228" s="50" t="str">
        <f t="shared" si="25"/>
        <v>DEJAR</v>
      </c>
      <c r="Z228" s="50" t="str">
        <f t="shared" si="26"/>
        <v>DEJAR</v>
      </c>
      <c r="AA228" s="50" t="str">
        <f t="shared" si="27"/>
        <v>DEJAR</v>
      </c>
      <c r="AB228" s="50" t="str">
        <f t="shared" si="28"/>
        <v>DEJAR</v>
      </c>
      <c r="AC228" s="52">
        <f t="shared" si="29"/>
        <v>2.3506181632322234E-2</v>
      </c>
      <c r="AD228" s="52">
        <f t="shared" si="30"/>
        <v>0.47012363264644463</v>
      </c>
      <c r="AE228" s="52">
        <f>+IF(X228=INICIO!$B$31,0.15991*D228^2.32764,AND(X228=INICIO!$B$32)*0.13657*D228^2.38351)</f>
        <v>121.96931273174864</v>
      </c>
      <c r="AF228" s="52">
        <f t="shared" si="31"/>
        <v>2439.3862546349728</v>
      </c>
      <c r="AG228" s="52">
        <f>+AE228/1000*INICIO!$D$50</f>
        <v>5.7325576983921857E-2</v>
      </c>
      <c r="AH228" s="52">
        <f>+AF228/1000*INICIO!$D$50</f>
        <v>1.1465115396784371</v>
      </c>
      <c r="AI228" s="55">
        <f>+IF(X228=INICIO!$B$31,IF(D228&lt;=82,0.15991*D228^2.32764, 0.15991*82^2.32764),AND(X228=INICIO!$B$32)*IF(D228&lt;=79.9,0.13657*D228^2.38351,0.13657*79.9^2.38351))</f>
        <v>121.96931273174864</v>
      </c>
      <c r="AJ228" s="56">
        <f t="shared" si="32"/>
        <v>2439.3862546349728</v>
      </c>
      <c r="AK228" s="56">
        <f>+AI228/1000*INICIO!$D$50</f>
        <v>5.7325576983921857E-2</v>
      </c>
      <c r="AL228" s="56">
        <f>+AJ228/1000*INICIO!$D$50</f>
        <v>1.1465115396784371</v>
      </c>
      <c r="AM228" s="57" t="str">
        <f>+INICIO!$C$30</f>
        <v>UVG_B_Kg</v>
      </c>
    </row>
    <row r="229" spans="1:39" ht="15" x14ac:dyDescent="0.25">
      <c r="A229" s="24">
        <v>19</v>
      </c>
      <c r="B229" s="25">
        <f>'1BASE'!A229</f>
        <v>8</v>
      </c>
      <c r="C229" s="24">
        <f>'1BASE'!B229</f>
        <v>0</v>
      </c>
      <c r="D229" s="26">
        <f>'1BASE'!C229</f>
        <v>90</v>
      </c>
      <c r="E229" s="27">
        <f>'1BASE'!D229</f>
        <v>25</v>
      </c>
      <c r="F229" s="27">
        <f>'1BASE'!E229</f>
        <v>140</v>
      </c>
      <c r="G229" s="32">
        <f t="shared" si="24"/>
        <v>-7.4558394604456364</v>
      </c>
      <c r="H229" s="26">
        <f>'1BASE'!F229</f>
        <v>8</v>
      </c>
      <c r="I229" s="24">
        <f>'1BASE'!G229</f>
        <v>0</v>
      </c>
      <c r="J229" s="24">
        <f>'1BASE'!H229</f>
        <v>0</v>
      </c>
      <c r="K229" s="24"/>
      <c r="L229" s="24"/>
      <c r="M229" s="24"/>
      <c r="N229" s="24"/>
      <c r="O229" s="24"/>
      <c r="P229" s="24"/>
      <c r="Q229" s="24"/>
      <c r="R229" s="24"/>
      <c r="S229" s="5"/>
      <c r="T229" s="5"/>
      <c r="U229" s="1" t="s">
        <v>96</v>
      </c>
      <c r="V229" s="11">
        <v>0.05</v>
      </c>
      <c r="W229" s="1">
        <f>+INICIO!$C$34</f>
        <v>2014</v>
      </c>
      <c r="X229" s="1" t="str">
        <f>+INICIO!$B$32</f>
        <v>LATIFOLIADO</v>
      </c>
      <c r="Y229" s="50" t="str">
        <f t="shared" si="25"/>
        <v>DEJAR</v>
      </c>
      <c r="Z229" s="50" t="str">
        <f t="shared" si="26"/>
        <v>DEJAR</v>
      </c>
      <c r="AA229" s="50" t="str">
        <f t="shared" si="27"/>
        <v>DEJAR</v>
      </c>
      <c r="AB229" s="50" t="str">
        <f t="shared" si="28"/>
        <v>DEJAR</v>
      </c>
      <c r="AC229" s="52">
        <f t="shared" si="29"/>
        <v>0.63617251235193317</v>
      </c>
      <c r="AD229" s="52">
        <f t="shared" si="30"/>
        <v>12.723450247038663</v>
      </c>
      <c r="AE229" s="52">
        <f>+IF(X229=INICIO!$B$31,0.15991*D229^2.32764,AND(X229=INICIO!$B$32)*0.13657*D229^2.38351)</f>
        <v>6213.1504929432931</v>
      </c>
      <c r="AF229" s="52">
        <f t="shared" si="31"/>
        <v>124263.00985886586</v>
      </c>
      <c r="AG229" s="52">
        <f>+AE229/1000*INICIO!$D$50</f>
        <v>2.9201807316833475</v>
      </c>
      <c r="AH229" s="52">
        <f>+AF229/1000*INICIO!$D$50</f>
        <v>58.403614633666947</v>
      </c>
      <c r="AI229" s="55">
        <f>+IF(X229=INICIO!$B$31,IF(D229&lt;=82,0.15991*D229^2.32764, 0.15991*82^2.32764),AND(X229=INICIO!$B$32)*IF(D229&lt;=79.9,0.13657*D229^2.38351,0.13657*79.9^2.38351))</f>
        <v>4678.370186681871</v>
      </c>
      <c r="AJ229" s="56">
        <f t="shared" si="32"/>
        <v>93567.403733637417</v>
      </c>
      <c r="AK229" s="56">
        <f>+AI229/1000*INICIO!$D$50</f>
        <v>2.1988339877404792</v>
      </c>
      <c r="AL229" s="56">
        <f>+AJ229/1000*INICIO!$D$50</f>
        <v>43.976679754809588</v>
      </c>
      <c r="AM229" s="57" t="str">
        <f>+INICIO!$C$30</f>
        <v>UVG_B_Kg</v>
      </c>
    </row>
    <row r="230" spans="1:39" ht="15" x14ac:dyDescent="0.25">
      <c r="A230" s="24">
        <v>20</v>
      </c>
      <c r="B230" s="25">
        <f>'1BASE'!A230</f>
        <v>1</v>
      </c>
      <c r="C230" s="24">
        <f>'1BASE'!B230</f>
        <v>0</v>
      </c>
      <c r="D230" s="26">
        <f>'1BASE'!C230</f>
        <v>90</v>
      </c>
      <c r="E230" s="27">
        <f>'1BASE'!D230</f>
        <v>100</v>
      </c>
      <c r="F230" s="27">
        <f>'1BASE'!E230</f>
        <v>140</v>
      </c>
      <c r="G230" s="32">
        <f t="shared" si="24"/>
        <v>-130.20762901589984</v>
      </c>
      <c r="H230" s="26">
        <f>'1BASE'!F230</f>
        <v>6</v>
      </c>
      <c r="I230" s="22" t="str">
        <f>'1BASE'!G230</f>
        <v>X</v>
      </c>
      <c r="J230" s="22" t="str">
        <f>'1BASE'!H230</f>
        <v>Y</v>
      </c>
      <c r="K230" s="24"/>
      <c r="L230" s="24"/>
      <c r="M230" s="24"/>
      <c r="N230" s="24"/>
      <c r="O230" s="24"/>
      <c r="P230" s="24"/>
      <c r="Q230" s="24"/>
      <c r="R230" s="24"/>
      <c r="S230" s="5"/>
      <c r="T230" s="5"/>
      <c r="U230" s="1" t="s">
        <v>96</v>
      </c>
      <c r="V230" s="11">
        <v>0.05</v>
      </c>
      <c r="W230" s="1">
        <f>+INICIO!$C$34</f>
        <v>2014</v>
      </c>
      <c r="X230" s="1" t="str">
        <f>+INICIO!$B$32</f>
        <v>LATIFOLIADO</v>
      </c>
      <c r="Y230" s="50" t="str">
        <f t="shared" si="25"/>
        <v>DEJAR</v>
      </c>
      <c r="Z230" s="50" t="str">
        <f t="shared" si="26"/>
        <v>DEJAR</v>
      </c>
      <c r="AA230" s="50" t="str">
        <f t="shared" si="27"/>
        <v>DEJAR</v>
      </c>
      <c r="AB230" s="50" t="str">
        <f t="shared" si="28"/>
        <v>DEJAR</v>
      </c>
      <c r="AC230" s="52">
        <f t="shared" si="29"/>
        <v>0.63617251235193317</v>
      </c>
      <c r="AD230" s="52">
        <f t="shared" si="30"/>
        <v>12.723450247038663</v>
      </c>
      <c r="AE230" s="52">
        <f>+IF(X230=INICIO!$B$31,0.15991*D230^2.32764,AND(X230=INICIO!$B$32)*0.13657*D230^2.38351)</f>
        <v>6213.1504929432931</v>
      </c>
      <c r="AF230" s="52">
        <f t="shared" si="31"/>
        <v>124263.00985886586</v>
      </c>
      <c r="AG230" s="52">
        <f>+AE230/1000*INICIO!$D$50</f>
        <v>2.9201807316833475</v>
      </c>
      <c r="AH230" s="52">
        <f>+AF230/1000*INICIO!$D$50</f>
        <v>58.403614633666947</v>
      </c>
      <c r="AI230" s="55">
        <f>+IF(X230=INICIO!$B$31,IF(D230&lt;=82,0.15991*D230^2.32764, 0.15991*82^2.32764),AND(X230=INICIO!$B$32)*IF(D230&lt;=79.9,0.13657*D230^2.38351,0.13657*79.9^2.38351))</f>
        <v>4678.370186681871</v>
      </c>
      <c r="AJ230" s="56">
        <f t="shared" si="32"/>
        <v>93567.403733637417</v>
      </c>
      <c r="AK230" s="56">
        <f>+AI230/1000*INICIO!$D$50</f>
        <v>2.1988339877404792</v>
      </c>
      <c r="AL230" s="56">
        <f>+AJ230/1000*INICIO!$D$50</f>
        <v>43.976679754809588</v>
      </c>
      <c r="AM230" s="57" t="str">
        <f>+INICIO!$C$30</f>
        <v>UVG_B_Kg</v>
      </c>
    </row>
    <row r="231" spans="1:39" ht="15" x14ac:dyDescent="0.25">
      <c r="A231" s="24">
        <v>20</v>
      </c>
      <c r="B231" s="25">
        <f>'1BASE'!A231</f>
        <v>2</v>
      </c>
      <c r="C231" s="24">
        <f>'1BASE'!B231</f>
        <v>0</v>
      </c>
      <c r="D231" s="26">
        <f>'1BASE'!C231</f>
        <v>43.5</v>
      </c>
      <c r="E231" s="27">
        <f>'1BASE'!D231</f>
        <v>90</v>
      </c>
      <c r="F231" s="27">
        <f>'1BASE'!E231</f>
        <v>60</v>
      </c>
      <c r="G231" s="32">
        <f t="shared" si="24"/>
        <v>3.264910455523815E+17</v>
      </c>
      <c r="H231" s="26">
        <f>'1BASE'!F231</f>
        <v>3.5</v>
      </c>
      <c r="I231" s="22" t="str">
        <f>'1BASE'!G231</f>
        <v>88° 38' 46.3''</v>
      </c>
      <c r="J231" s="22" t="str">
        <f>'1BASE'!H231</f>
        <v>15° 41' 2''</v>
      </c>
      <c r="K231" s="24" t="str">
        <f>LEFT(I231,2)</f>
        <v>88</v>
      </c>
      <c r="L231" s="24" t="str">
        <f>+LEFT(RIGHT(I231,10),2)</f>
        <v>38</v>
      </c>
      <c r="M231" s="24" t="str">
        <f>+LEFT(RIGHT(I231,6),4)</f>
        <v>46.3</v>
      </c>
      <c r="N231" s="24">
        <f>(K231+((L231+(M231/60)/60)/60))*-1</f>
        <v>-88.633547685185192</v>
      </c>
      <c r="O231" s="24" t="str">
        <f>LEFT(J231,2)</f>
        <v>15</v>
      </c>
      <c r="P231" s="24" t="str">
        <f>+LEFT(RIGHT(J231,7),2)</f>
        <v>41</v>
      </c>
      <c r="Q231" s="24" t="str">
        <f>+LEFT(RIGHT(J231,3),1)</f>
        <v>2</v>
      </c>
      <c r="R231" s="24">
        <f>O231+((P231+(Q231/60)/60)/60)</f>
        <v>15.683342592592593</v>
      </c>
      <c r="S231" s="11">
        <v>700076.57710800006</v>
      </c>
      <c r="T231" s="11">
        <v>1735137.08363</v>
      </c>
      <c r="U231" s="1" t="s">
        <v>96</v>
      </c>
      <c r="V231" s="11">
        <v>0.05</v>
      </c>
      <c r="W231" s="1">
        <f>+INICIO!$C$34</f>
        <v>2014</v>
      </c>
      <c r="X231" s="1" t="str">
        <f>+INICIO!$B$32</f>
        <v>LATIFOLIADO</v>
      </c>
      <c r="Y231" s="50" t="str">
        <f t="shared" si="25"/>
        <v>DEJAR</v>
      </c>
      <c r="Z231" s="50" t="str">
        <f t="shared" si="26"/>
        <v>DEJAR</v>
      </c>
      <c r="AA231" s="50" t="str">
        <f t="shared" si="27"/>
        <v>DEJAR</v>
      </c>
      <c r="AB231" s="50" t="str">
        <f t="shared" si="28"/>
        <v>DEJAR</v>
      </c>
      <c r="AC231" s="52">
        <f t="shared" si="29"/>
        <v>0.14861696746888214</v>
      </c>
      <c r="AD231" s="52">
        <f t="shared" si="30"/>
        <v>2.9723393493776427</v>
      </c>
      <c r="AE231" s="52">
        <f>+IF(X231=INICIO!$B$31,0.15991*D231^2.32764,AND(X231=INICIO!$B$32)*0.13657*D231^2.38351)</f>
        <v>1098.2743434316055</v>
      </c>
      <c r="AF231" s="52">
        <f t="shared" si="31"/>
        <v>21965.48686863211</v>
      </c>
      <c r="AG231" s="52">
        <f>+AE231/1000*INICIO!$D$50</f>
        <v>0.51618894141285454</v>
      </c>
      <c r="AH231" s="52">
        <f>+AF231/1000*INICIO!$D$50</f>
        <v>10.32377882825709</v>
      </c>
      <c r="AI231" s="55">
        <f>+IF(X231=INICIO!$B$31,IF(D231&lt;=82,0.15991*D231^2.32764, 0.15991*82^2.32764),AND(X231=INICIO!$B$32)*IF(D231&lt;=79.9,0.13657*D231^2.38351,0.13657*79.9^2.38351))</f>
        <v>1098.2743434316055</v>
      </c>
      <c r="AJ231" s="56">
        <f t="shared" si="32"/>
        <v>21965.48686863211</v>
      </c>
      <c r="AK231" s="56">
        <f>+AI231/1000*INICIO!$D$50</f>
        <v>0.51618894141285454</v>
      </c>
      <c r="AL231" s="56">
        <f>+AJ231/1000*INICIO!$D$50</f>
        <v>10.32377882825709</v>
      </c>
      <c r="AM231" s="57" t="str">
        <f>+INICIO!$C$30</f>
        <v>UVG_B_Kg</v>
      </c>
    </row>
    <row r="232" spans="1:39" ht="15" x14ac:dyDescent="0.25">
      <c r="A232" s="24">
        <v>20</v>
      </c>
      <c r="B232" s="25">
        <f>'1BASE'!A232</f>
        <v>3</v>
      </c>
      <c r="C232" s="24">
        <f>'1BASE'!B232</f>
        <v>0</v>
      </c>
      <c r="D232" s="26">
        <f>'1BASE'!C232</f>
        <v>38</v>
      </c>
      <c r="E232" s="27">
        <f>'1BASE'!D232</f>
        <v>90</v>
      </c>
      <c r="F232" s="27">
        <f>'1BASE'!E232</f>
        <v>50</v>
      </c>
      <c r="G232" s="32">
        <f t="shared" si="24"/>
        <v>3.2649104555238144E+17</v>
      </c>
      <c r="H232" s="26">
        <f>'1BASE'!F232</f>
        <v>3.5</v>
      </c>
      <c r="I232" s="24">
        <f>'1BASE'!G232</f>
        <v>0</v>
      </c>
      <c r="J232" s="24">
        <f>'1BASE'!H232</f>
        <v>0</v>
      </c>
      <c r="K232" s="24"/>
      <c r="L232" s="24"/>
      <c r="M232" s="24"/>
      <c r="N232" s="24"/>
      <c r="O232" s="24"/>
      <c r="P232" s="24"/>
      <c r="Q232" s="24"/>
      <c r="R232" s="24"/>
      <c r="S232" s="5"/>
      <c r="T232" s="5"/>
      <c r="U232" s="1" t="s">
        <v>96</v>
      </c>
      <c r="V232" s="11">
        <v>0.05</v>
      </c>
      <c r="W232" s="1">
        <f>+INICIO!$C$34</f>
        <v>2014</v>
      </c>
      <c r="X232" s="1" t="str">
        <f>+INICIO!$B$32</f>
        <v>LATIFOLIADO</v>
      </c>
      <c r="Y232" s="50" t="str">
        <f t="shared" si="25"/>
        <v>DEJAR</v>
      </c>
      <c r="Z232" s="50" t="str">
        <f t="shared" si="26"/>
        <v>DEJAR</v>
      </c>
      <c r="AA232" s="50" t="str">
        <f t="shared" si="27"/>
        <v>DEJAR</v>
      </c>
      <c r="AB232" s="50" t="str">
        <f t="shared" si="28"/>
        <v>DEJAR</v>
      </c>
      <c r="AC232" s="52">
        <f t="shared" si="29"/>
        <v>0.11341149479459153</v>
      </c>
      <c r="AD232" s="52">
        <f t="shared" si="30"/>
        <v>2.2682298958918303</v>
      </c>
      <c r="AE232" s="52">
        <f>+IF(X232=INICIO!$B$31,0.15991*D232^2.32764,AND(X232=INICIO!$B$32)*0.13657*D232^2.38351)</f>
        <v>795.76587227964853</v>
      </c>
      <c r="AF232" s="52">
        <f t="shared" si="31"/>
        <v>15915.317445592969</v>
      </c>
      <c r="AG232" s="52">
        <f>+AE232/1000*INICIO!$D$50</f>
        <v>0.37400995997143482</v>
      </c>
      <c r="AH232" s="52">
        <f>+AF232/1000*INICIO!$D$50</f>
        <v>7.4801991994286947</v>
      </c>
      <c r="AI232" s="55">
        <f>+IF(X232=INICIO!$B$31,IF(D232&lt;=82,0.15991*D232^2.32764, 0.15991*82^2.32764),AND(X232=INICIO!$B$32)*IF(D232&lt;=79.9,0.13657*D232^2.38351,0.13657*79.9^2.38351))</f>
        <v>795.76587227964853</v>
      </c>
      <c r="AJ232" s="56">
        <f t="shared" si="32"/>
        <v>15915.317445592969</v>
      </c>
      <c r="AK232" s="56">
        <f>+AI232/1000*INICIO!$D$50</f>
        <v>0.37400995997143482</v>
      </c>
      <c r="AL232" s="56">
        <f>+AJ232/1000*INICIO!$D$50</f>
        <v>7.4801991994286947</v>
      </c>
      <c r="AM232" s="57" t="str">
        <f>+INICIO!$C$30</f>
        <v>UVG_B_Kg</v>
      </c>
    </row>
    <row r="233" spans="1:39" ht="15" x14ac:dyDescent="0.25">
      <c r="A233" s="24">
        <v>20</v>
      </c>
      <c r="B233" s="25">
        <f>'1BASE'!A233</f>
        <v>4</v>
      </c>
      <c r="C233" s="27">
        <f>'1BASE'!B233</f>
        <v>0</v>
      </c>
      <c r="D233" s="26">
        <f>'1BASE'!C233</f>
        <v>13.5</v>
      </c>
      <c r="E233" s="27">
        <f>'1BASE'!D233</f>
        <v>80</v>
      </c>
      <c r="F233" s="27">
        <f>'1BASE'!E233</f>
        <v>20</v>
      </c>
      <c r="G233" s="27">
        <f t="shared" si="24"/>
        <v>120.70504107767819</v>
      </c>
      <c r="H233" s="26">
        <f>'1BASE'!F233</f>
        <v>2</v>
      </c>
      <c r="I233" s="24">
        <f>'1BASE'!G233</f>
        <v>0</v>
      </c>
      <c r="J233" s="24">
        <f>'1BASE'!H233</f>
        <v>0</v>
      </c>
      <c r="K233" s="24"/>
      <c r="L233" s="24"/>
      <c r="M233" s="24"/>
      <c r="N233" s="24"/>
      <c r="O233" s="24"/>
      <c r="P233" s="24"/>
      <c r="Q233" s="24"/>
      <c r="R233" s="24"/>
      <c r="S233" s="5"/>
      <c r="T233" s="5"/>
      <c r="U233" s="1" t="s">
        <v>96</v>
      </c>
      <c r="V233" s="11">
        <v>0.05</v>
      </c>
      <c r="W233" s="1">
        <f>+INICIO!$C$34</f>
        <v>2014</v>
      </c>
      <c r="X233" s="1" t="str">
        <f>+INICIO!$B$32</f>
        <v>LATIFOLIADO</v>
      </c>
      <c r="Y233" s="50" t="str">
        <f t="shared" si="25"/>
        <v>DEJAR</v>
      </c>
      <c r="Z233" s="50" t="str">
        <f t="shared" si="26"/>
        <v>DEJAR</v>
      </c>
      <c r="AA233" s="50" t="str">
        <f t="shared" si="27"/>
        <v>DEJAR</v>
      </c>
      <c r="AB233" s="50" t="str">
        <f t="shared" si="28"/>
        <v>DEJAR</v>
      </c>
      <c r="AC233" s="52">
        <f t="shared" si="29"/>
        <v>1.4313881527918496E-2</v>
      </c>
      <c r="AD233" s="52">
        <f t="shared" si="30"/>
        <v>0.28627763055836991</v>
      </c>
      <c r="AE233" s="52">
        <f>+IF(X233=INICIO!$B$31,0.15991*D233^2.32764,AND(X233=INICIO!$B$32)*0.13657*D233^2.38351)</f>
        <v>67.533172179763213</v>
      </c>
      <c r="AF233" s="52">
        <f t="shared" si="31"/>
        <v>1350.6634435952642</v>
      </c>
      <c r="AG233" s="52">
        <f>+AE233/1000*INICIO!$D$50</f>
        <v>3.1740590924488707E-2</v>
      </c>
      <c r="AH233" s="52">
        <f>+AF233/1000*INICIO!$D$50</f>
        <v>0.63481181848977419</v>
      </c>
      <c r="AI233" s="55">
        <f>+IF(X233=INICIO!$B$31,IF(D233&lt;=82,0.15991*D233^2.32764, 0.15991*82^2.32764),AND(X233=INICIO!$B$32)*IF(D233&lt;=79.9,0.13657*D233^2.38351,0.13657*79.9^2.38351))</f>
        <v>67.533172179763213</v>
      </c>
      <c r="AJ233" s="56">
        <f t="shared" si="32"/>
        <v>1350.6634435952642</v>
      </c>
      <c r="AK233" s="56">
        <f>+AI233/1000*INICIO!$D$50</f>
        <v>3.1740590924488707E-2</v>
      </c>
      <c r="AL233" s="56">
        <f>+AJ233/1000*INICIO!$D$50</f>
        <v>0.63481181848977419</v>
      </c>
      <c r="AM233" s="57" t="str">
        <f>+INICIO!$C$30</f>
        <v>UVG_B_Kg</v>
      </c>
    </row>
  </sheetData>
  <autoFilter ref="A1:AM233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O4" sqref="O4:O23"/>
    </sheetView>
  </sheetViews>
  <sheetFormatPr baseColWidth="10" defaultRowHeight="15" x14ac:dyDescent="0.25"/>
  <cols>
    <col min="1" max="1" width="14" customWidth="1"/>
    <col min="2" max="2" width="17.140625" bestFit="1" customWidth="1"/>
    <col min="3" max="4" width="12" bestFit="1" customWidth="1"/>
    <col min="5" max="5" width="18.28515625" bestFit="1" customWidth="1"/>
    <col min="6" max="6" width="12" customWidth="1"/>
    <col min="7" max="7" width="14.5703125" bestFit="1" customWidth="1"/>
    <col min="8" max="8" width="13.140625" customWidth="1"/>
    <col min="9" max="9" width="15.28515625" bestFit="1" customWidth="1"/>
    <col min="10" max="10" width="12" customWidth="1"/>
    <col min="11" max="11" width="13.85546875" customWidth="1"/>
    <col min="12" max="12" width="15.140625" customWidth="1"/>
    <col min="13" max="13" width="17.42578125" bestFit="1" customWidth="1"/>
    <col min="14" max="14" width="12" customWidth="1"/>
    <col min="15" max="15" width="14.85546875" bestFit="1" customWidth="1"/>
    <col min="17" max="17" width="4" customWidth="1"/>
  </cols>
  <sheetData>
    <row r="1" spans="1:18" x14ac:dyDescent="0.25">
      <c r="A1" s="58" t="s">
        <v>119</v>
      </c>
      <c r="B1" t="s">
        <v>155</v>
      </c>
    </row>
    <row r="3" spans="1:18" x14ac:dyDescent="0.25">
      <c r="A3" s="58" t="s">
        <v>149</v>
      </c>
      <c r="B3" t="s">
        <v>143</v>
      </c>
      <c r="C3" t="s">
        <v>141</v>
      </c>
      <c r="D3" t="s">
        <v>142</v>
      </c>
      <c r="E3" t="s">
        <v>140</v>
      </c>
      <c r="F3" t="s">
        <v>131</v>
      </c>
      <c r="G3" t="s">
        <v>130</v>
      </c>
      <c r="H3" t="s">
        <v>132</v>
      </c>
      <c r="I3" t="s">
        <v>133</v>
      </c>
      <c r="J3" t="s">
        <v>134</v>
      </c>
      <c r="K3" t="s">
        <v>135</v>
      </c>
      <c r="L3" t="s">
        <v>136</v>
      </c>
      <c r="M3" t="s">
        <v>137</v>
      </c>
      <c r="N3" t="s">
        <v>138</v>
      </c>
      <c r="O3" t="s">
        <v>139</v>
      </c>
      <c r="Q3" s="54" t="s">
        <v>161</v>
      </c>
      <c r="R3" s="54">
        <f>+COUNTA(O4:O23)</f>
        <v>20</v>
      </c>
    </row>
    <row r="4" spans="1:18" x14ac:dyDescent="0.25">
      <c r="A4" s="36">
        <v>1</v>
      </c>
      <c r="B4" s="37">
        <v>2014</v>
      </c>
      <c r="C4" s="37">
        <v>700072.38227299997</v>
      </c>
      <c r="D4" s="37">
        <v>1735139.8652300001</v>
      </c>
      <c r="E4" s="37">
        <v>0.05</v>
      </c>
      <c r="F4" s="37">
        <v>4.1410567805579008</v>
      </c>
      <c r="G4" s="37">
        <v>82.821135611158013</v>
      </c>
      <c r="H4" s="37">
        <v>43953.665126758009</v>
      </c>
      <c r="I4" s="37">
        <v>879073.30253515998</v>
      </c>
      <c r="J4" s="37">
        <v>20.658222609576256</v>
      </c>
      <c r="K4" s="37">
        <v>413.16445219152519</v>
      </c>
      <c r="L4" s="37">
        <v>17659.327779094419</v>
      </c>
      <c r="M4" s="37">
        <v>353186.55558188836</v>
      </c>
      <c r="N4" s="37">
        <v>8.2998840561743794</v>
      </c>
      <c r="O4" s="37">
        <v>165.99768112348758</v>
      </c>
    </row>
    <row r="5" spans="1:18" x14ac:dyDescent="0.25">
      <c r="A5" s="36">
        <v>2</v>
      </c>
      <c r="B5" s="37">
        <v>2014</v>
      </c>
      <c r="C5" s="37">
        <v>700073.52631800005</v>
      </c>
      <c r="D5" s="37">
        <v>1735139.6190800001</v>
      </c>
      <c r="E5" s="37">
        <v>0.05</v>
      </c>
      <c r="F5" s="37">
        <v>1.9761795888324893</v>
      </c>
      <c r="G5" s="37">
        <v>39.523591776649781</v>
      </c>
      <c r="H5" s="37">
        <v>15686.03351061174</v>
      </c>
      <c r="I5" s="37">
        <v>313720.67021223484</v>
      </c>
      <c r="J5" s="37">
        <v>7.3724357499875186</v>
      </c>
      <c r="K5" s="37">
        <v>147.44871499975034</v>
      </c>
      <c r="L5" s="37">
        <v>15686.03351061174</v>
      </c>
      <c r="M5" s="37">
        <v>313720.67021223484</v>
      </c>
      <c r="N5" s="37">
        <v>7.3724357499875186</v>
      </c>
      <c r="O5" s="37">
        <v>147.44871499975034</v>
      </c>
    </row>
    <row r="6" spans="1:18" x14ac:dyDescent="0.25">
      <c r="A6" s="36">
        <v>3</v>
      </c>
      <c r="B6" s="37">
        <v>2014</v>
      </c>
      <c r="C6" s="37">
        <v>700074.22583300003</v>
      </c>
      <c r="D6" s="37">
        <v>1735139.11277</v>
      </c>
      <c r="E6" s="37">
        <v>4.9999999999999996E-2</v>
      </c>
      <c r="F6" s="37">
        <v>1.4662527626632256</v>
      </c>
      <c r="G6" s="37">
        <v>29.325055253264512</v>
      </c>
      <c r="H6" s="37">
        <v>12050.92507436624</v>
      </c>
      <c r="I6" s="37">
        <v>241018.50148732483</v>
      </c>
      <c r="J6" s="37">
        <v>5.6639347849521329</v>
      </c>
      <c r="K6" s="37">
        <v>113.27869569904264</v>
      </c>
      <c r="L6" s="37">
        <v>12050.92507436624</v>
      </c>
      <c r="M6" s="37">
        <v>241018.50148732483</v>
      </c>
      <c r="N6" s="37">
        <v>5.6639347849521329</v>
      </c>
      <c r="O6" s="37">
        <v>113.27869569904264</v>
      </c>
    </row>
    <row r="7" spans="1:18" x14ac:dyDescent="0.25">
      <c r="A7" s="36">
        <v>4</v>
      </c>
      <c r="B7" s="37">
        <v>2014</v>
      </c>
      <c r="C7" s="37">
        <v>700074.77506500005</v>
      </c>
      <c r="D7" s="37">
        <v>1735138.7588899999</v>
      </c>
      <c r="E7" s="37">
        <v>4.9999999999999996E-2</v>
      </c>
      <c r="F7" s="37">
        <v>2.2381687811877935</v>
      </c>
      <c r="G7" s="37">
        <v>44.763375623755863</v>
      </c>
      <c r="H7" s="37">
        <v>20515.47226700337</v>
      </c>
      <c r="I7" s="37">
        <v>410309.44534006726</v>
      </c>
      <c r="J7" s="37">
        <v>9.6422719654915809</v>
      </c>
      <c r="K7" s="37">
        <v>192.84543930983165</v>
      </c>
      <c r="L7" s="37">
        <v>17453.898915772112</v>
      </c>
      <c r="M7" s="37">
        <v>349077.97831544216</v>
      </c>
      <c r="N7" s="37">
        <v>8.2033324904128904</v>
      </c>
      <c r="O7" s="37">
        <v>164.06664980825781</v>
      </c>
    </row>
    <row r="8" spans="1:18" x14ac:dyDescent="0.25">
      <c r="A8" s="36">
        <v>5</v>
      </c>
      <c r="B8" s="37">
        <v>2014</v>
      </c>
      <c r="C8" s="37">
        <v>700075.57251199998</v>
      </c>
      <c r="D8" s="37">
        <v>1735138.4071899999</v>
      </c>
      <c r="E8" s="37">
        <v>4.9999999999999996E-2</v>
      </c>
      <c r="F8" s="37">
        <v>2.0904322450600796</v>
      </c>
      <c r="G8" s="37">
        <v>41.808644901201589</v>
      </c>
      <c r="H8" s="37">
        <v>18301.414419899596</v>
      </c>
      <c r="I8" s="37">
        <v>366028.28839799191</v>
      </c>
      <c r="J8" s="37">
        <v>8.6016647773528128</v>
      </c>
      <c r="K8" s="37">
        <v>172.03329554705621</v>
      </c>
      <c r="L8" s="37">
        <v>18301.414419899596</v>
      </c>
      <c r="M8" s="37">
        <v>366028.28839799191</v>
      </c>
      <c r="N8" s="37">
        <v>8.6016647773528128</v>
      </c>
      <c r="O8" s="37">
        <v>172.03329554705621</v>
      </c>
    </row>
    <row r="9" spans="1:18" x14ac:dyDescent="0.25">
      <c r="A9" s="36">
        <v>6</v>
      </c>
      <c r="B9" s="37">
        <v>2014</v>
      </c>
      <c r="C9" s="37">
        <v>700076.61230599997</v>
      </c>
      <c r="D9" s="37">
        <v>1735138.72382</v>
      </c>
      <c r="E9" s="37">
        <v>4.9999999999999996E-2</v>
      </c>
      <c r="F9" s="37">
        <v>0.89250997952342881</v>
      </c>
      <c r="G9" s="37">
        <v>17.850199590468577</v>
      </c>
      <c r="H9" s="37">
        <v>7151.8790453060719</v>
      </c>
      <c r="I9" s="37">
        <v>143037.58090612141</v>
      </c>
      <c r="J9" s="37">
        <v>3.3613831512938539</v>
      </c>
      <c r="K9" s="37">
        <v>67.227663025877064</v>
      </c>
      <c r="L9" s="37">
        <v>7151.8790453060719</v>
      </c>
      <c r="M9" s="37">
        <v>143037.58090612141</v>
      </c>
      <c r="N9" s="37">
        <v>3.3613831512938539</v>
      </c>
      <c r="O9" s="37">
        <v>67.227663025877064</v>
      </c>
    </row>
    <row r="10" spans="1:18" x14ac:dyDescent="0.25">
      <c r="A10" s="36">
        <v>7</v>
      </c>
      <c r="B10" s="37">
        <v>2014</v>
      </c>
      <c r="C10" s="37">
        <v>700076.65292100003</v>
      </c>
      <c r="D10" s="37">
        <v>1735139.74911</v>
      </c>
      <c r="E10" s="37">
        <v>5.000000000000001E-2</v>
      </c>
      <c r="F10" s="37">
        <v>2.380175837713522</v>
      </c>
      <c r="G10" s="37">
        <v>47.603516754270458</v>
      </c>
      <c r="H10" s="37">
        <v>19752.256014697534</v>
      </c>
      <c r="I10" s="37">
        <v>395045.12029395066</v>
      </c>
      <c r="J10" s="37">
        <v>9.2835603269078408</v>
      </c>
      <c r="K10" s="37">
        <v>185.67120653815678</v>
      </c>
      <c r="L10" s="37">
        <v>19159.61146330538</v>
      </c>
      <c r="M10" s="37">
        <v>383192.22926610755</v>
      </c>
      <c r="N10" s="37">
        <v>9.0050173877535293</v>
      </c>
      <c r="O10" s="37">
        <v>180.10034775507054</v>
      </c>
    </row>
    <row r="11" spans="1:18" x14ac:dyDescent="0.25">
      <c r="A11" s="36">
        <v>8</v>
      </c>
      <c r="B11" s="37">
        <v>2014</v>
      </c>
      <c r="C11" s="37">
        <v>700088.93505700002</v>
      </c>
      <c r="D11" s="37">
        <v>1733321.83849</v>
      </c>
      <c r="E11" s="37">
        <v>5.000000000000001E-2</v>
      </c>
      <c r="F11" s="37">
        <v>2.2124257855861149</v>
      </c>
      <c r="G11" s="37">
        <v>44.248515711722298</v>
      </c>
      <c r="H11" s="37">
        <v>17662.426143275516</v>
      </c>
      <c r="I11" s="37">
        <v>353248.52286551037</v>
      </c>
      <c r="J11" s="37">
        <v>8.3013402873394906</v>
      </c>
      <c r="K11" s="37">
        <v>166.02680574678979</v>
      </c>
      <c r="L11" s="37">
        <v>17662.426143275516</v>
      </c>
      <c r="M11" s="37">
        <v>353248.52286551037</v>
      </c>
      <c r="N11" s="37">
        <v>8.3013402873394906</v>
      </c>
      <c r="O11" s="37">
        <v>166.02680574678979</v>
      </c>
    </row>
    <row r="12" spans="1:18" x14ac:dyDescent="0.25">
      <c r="A12" s="36">
        <v>9</v>
      </c>
      <c r="B12" s="37">
        <v>2014</v>
      </c>
      <c r="C12" s="37">
        <v>700087.55756900006</v>
      </c>
      <c r="D12" s="37">
        <v>1733320.3914699999</v>
      </c>
      <c r="E12" s="37">
        <v>5.000000000000001E-2</v>
      </c>
      <c r="F12" s="37">
        <v>3.3448317071284772</v>
      </c>
      <c r="G12" s="37">
        <v>66.896634142569539</v>
      </c>
      <c r="H12" s="37">
        <v>32746.833832388336</v>
      </c>
      <c r="I12" s="37">
        <v>654936.67664776673</v>
      </c>
      <c r="J12" s="37">
        <v>15.391011901222519</v>
      </c>
      <c r="K12" s="37">
        <v>307.82023802445036</v>
      </c>
      <c r="L12" s="37">
        <v>17958.689621352012</v>
      </c>
      <c r="M12" s="37">
        <v>359173.79242704029</v>
      </c>
      <c r="N12" s="37">
        <v>8.4405841220354461</v>
      </c>
      <c r="O12" s="37">
        <v>168.81168244070895</v>
      </c>
    </row>
    <row r="13" spans="1:18" x14ac:dyDescent="0.25">
      <c r="A13" s="36">
        <v>10</v>
      </c>
      <c r="B13" s="37">
        <v>2014</v>
      </c>
      <c r="C13" s="37">
        <v>700085.95488900004</v>
      </c>
      <c r="D13" s="37">
        <v>1733321.966</v>
      </c>
      <c r="E13" s="37">
        <v>5.0000000000000017E-2</v>
      </c>
      <c r="F13" s="37">
        <v>4.3823843070791693</v>
      </c>
      <c r="G13" s="37">
        <v>87.64768614158335</v>
      </c>
      <c r="H13" s="37">
        <v>42624.740258884376</v>
      </c>
      <c r="I13" s="37">
        <v>852494.80517768767</v>
      </c>
      <c r="J13" s="37">
        <v>20.033627921675659</v>
      </c>
      <c r="K13" s="37">
        <v>400.67255843351296</v>
      </c>
      <c r="L13" s="37">
        <v>25397.948444732046</v>
      </c>
      <c r="M13" s="37">
        <v>507958.96889464103</v>
      </c>
      <c r="N13" s="37">
        <v>11.937035769024064</v>
      </c>
      <c r="O13" s="37">
        <v>238.74071538048128</v>
      </c>
    </row>
    <row r="14" spans="1:18" x14ac:dyDescent="0.25">
      <c r="A14" s="36">
        <v>11</v>
      </c>
      <c r="B14" s="37">
        <v>2014</v>
      </c>
      <c r="C14" s="37">
        <v>698326.676477</v>
      </c>
      <c r="D14" s="37">
        <v>1733306.19408</v>
      </c>
      <c r="E14" s="37">
        <v>5.000000000000001E-2</v>
      </c>
      <c r="F14" s="37">
        <v>2.5906758972728166</v>
      </c>
      <c r="G14" s="37">
        <v>51.813517945456326</v>
      </c>
      <c r="H14" s="37">
        <v>21107.241359270614</v>
      </c>
      <c r="I14" s="37">
        <v>422144.82718541234</v>
      </c>
      <c r="J14" s="37">
        <v>9.9204034388571873</v>
      </c>
      <c r="K14" s="37">
        <v>198.40806877714377</v>
      </c>
      <c r="L14" s="37">
        <v>21107.241359270614</v>
      </c>
      <c r="M14" s="37">
        <v>422144.82718541234</v>
      </c>
      <c r="N14" s="37">
        <v>9.9204034388571873</v>
      </c>
      <c r="O14" s="37">
        <v>198.40806877714377</v>
      </c>
    </row>
    <row r="15" spans="1:18" x14ac:dyDescent="0.25">
      <c r="A15" s="36">
        <v>12</v>
      </c>
      <c r="B15" s="37">
        <v>2014</v>
      </c>
      <c r="C15" s="37">
        <v>698310.09492399998</v>
      </c>
      <c r="D15" s="37">
        <v>1735120.9251000001</v>
      </c>
      <c r="E15" s="37">
        <v>5.0000000000000017E-2</v>
      </c>
      <c r="F15" s="37">
        <v>2.1863163310553775</v>
      </c>
      <c r="G15" s="37">
        <v>43.726326621107539</v>
      </c>
      <c r="H15" s="37">
        <v>16979.987842566443</v>
      </c>
      <c r="I15" s="37">
        <v>339599.75685132883</v>
      </c>
      <c r="J15" s="37">
        <v>7.9805942860062258</v>
      </c>
      <c r="K15" s="37">
        <v>159.61188572012449</v>
      </c>
      <c r="L15" s="37">
        <v>16979.987842566443</v>
      </c>
      <c r="M15" s="37">
        <v>339599.75685132883</v>
      </c>
      <c r="N15" s="37">
        <v>7.9805942860062258</v>
      </c>
      <c r="O15" s="37">
        <v>159.61188572012449</v>
      </c>
    </row>
    <row r="16" spans="1:18" x14ac:dyDescent="0.25">
      <c r="A16" s="36">
        <v>13</v>
      </c>
      <c r="B16" s="37">
        <v>2014</v>
      </c>
      <c r="C16" s="37">
        <v>700073.40041</v>
      </c>
      <c r="D16" s="37">
        <v>1735137.0044</v>
      </c>
      <c r="E16" s="37">
        <v>5.000000000000001E-2</v>
      </c>
      <c r="F16" s="37">
        <v>3.7026269090476562</v>
      </c>
      <c r="G16" s="37">
        <v>74.052538180953107</v>
      </c>
      <c r="H16" s="37">
        <v>34072.32972931143</v>
      </c>
      <c r="I16" s="37">
        <v>681446.59458622849</v>
      </c>
      <c r="J16" s="37">
        <v>16.01399497277637</v>
      </c>
      <c r="K16" s="37">
        <v>320.27989945552736</v>
      </c>
      <c r="L16" s="37">
        <v>26834.70535581579</v>
      </c>
      <c r="M16" s="37">
        <v>536694.10711631575</v>
      </c>
      <c r="N16" s="37">
        <v>12.612311517233422</v>
      </c>
      <c r="O16" s="37">
        <v>252.24623034466836</v>
      </c>
    </row>
    <row r="17" spans="1:15" x14ac:dyDescent="0.25">
      <c r="A17" s="36">
        <v>14</v>
      </c>
      <c r="B17" s="37">
        <v>2014</v>
      </c>
      <c r="C17" s="37">
        <v>700078.53799900005</v>
      </c>
      <c r="D17" s="37">
        <v>1735139.91946</v>
      </c>
      <c r="E17" s="37">
        <v>4.9999999999999996E-2</v>
      </c>
      <c r="F17" s="37">
        <v>1.5098101594070847</v>
      </c>
      <c r="G17" s="37">
        <v>30.196203188141695</v>
      </c>
      <c r="H17" s="37">
        <v>12698.233683778202</v>
      </c>
      <c r="I17" s="37">
        <v>253964.673675564</v>
      </c>
      <c r="J17" s="37">
        <v>5.9681698313757545</v>
      </c>
      <c r="K17" s="37">
        <v>119.3633966275151</v>
      </c>
      <c r="L17" s="37">
        <v>12698.233683778202</v>
      </c>
      <c r="M17" s="37">
        <v>253964.673675564</v>
      </c>
      <c r="N17" s="37">
        <v>5.9681698313757545</v>
      </c>
      <c r="O17" s="37">
        <v>119.3633966275151</v>
      </c>
    </row>
    <row r="18" spans="1:15" x14ac:dyDescent="0.25">
      <c r="A18" s="36">
        <v>15</v>
      </c>
      <c r="B18" s="37">
        <v>2014</v>
      </c>
      <c r="C18" s="37">
        <v>700079.21360200003</v>
      </c>
      <c r="D18" s="37">
        <v>1735136.4918899999</v>
      </c>
      <c r="E18" s="37">
        <v>0.05</v>
      </c>
      <c r="F18" s="37">
        <v>0.57483291579059237</v>
      </c>
      <c r="G18" s="37">
        <v>11.496658315811848</v>
      </c>
      <c r="H18" s="37">
        <v>4269.8154491116684</v>
      </c>
      <c r="I18" s="37">
        <v>85396.308982233357</v>
      </c>
      <c r="J18" s="37">
        <v>2.0068132610824838</v>
      </c>
      <c r="K18" s="37">
        <v>40.136265221649673</v>
      </c>
      <c r="L18" s="37">
        <v>4269.8154491116684</v>
      </c>
      <c r="M18" s="37">
        <v>85396.308982233357</v>
      </c>
      <c r="N18" s="37">
        <v>2.0068132610824838</v>
      </c>
      <c r="O18" s="37">
        <v>40.136265221649673</v>
      </c>
    </row>
    <row r="19" spans="1:15" x14ac:dyDescent="0.25">
      <c r="A19" s="36">
        <v>16</v>
      </c>
      <c r="B19" s="37">
        <v>2014</v>
      </c>
      <c r="C19" s="37">
        <v>700078.19501200004</v>
      </c>
      <c r="D19" s="37">
        <v>1735139.4039700001</v>
      </c>
      <c r="E19" s="37">
        <v>4.9999999999999996E-2</v>
      </c>
      <c r="F19" s="37">
        <v>0.74078754771647315</v>
      </c>
      <c r="G19" s="37">
        <v>14.815750954329463</v>
      </c>
      <c r="H19" s="37">
        <v>5355.5471381689349</v>
      </c>
      <c r="I19" s="37">
        <v>107110.94276337868</v>
      </c>
      <c r="J19" s="37">
        <v>2.5171071549393993</v>
      </c>
      <c r="K19" s="37">
        <v>50.342143098787986</v>
      </c>
      <c r="L19" s="37">
        <v>5355.5471381689349</v>
      </c>
      <c r="M19" s="37">
        <v>107110.94276337868</v>
      </c>
      <c r="N19" s="37">
        <v>2.5171071549393993</v>
      </c>
      <c r="O19" s="37">
        <v>50.342143098787986</v>
      </c>
    </row>
    <row r="20" spans="1:15" x14ac:dyDescent="0.25">
      <c r="A20" s="36">
        <v>17</v>
      </c>
      <c r="B20" s="37">
        <v>2014</v>
      </c>
      <c r="C20" s="37">
        <v>700077.55777900002</v>
      </c>
      <c r="D20" s="37">
        <v>1735138.4759200001</v>
      </c>
      <c r="E20" s="37">
        <v>4.9999999999999996E-2</v>
      </c>
      <c r="F20" s="37">
        <v>0.80130247620624662</v>
      </c>
      <c r="G20" s="37">
        <v>16.026049524124932</v>
      </c>
      <c r="H20" s="37">
        <v>6126.2811829665843</v>
      </c>
      <c r="I20" s="37">
        <v>122525.62365933169</v>
      </c>
      <c r="J20" s="37">
        <v>2.8793521559942943</v>
      </c>
      <c r="K20" s="37">
        <v>57.587043119885891</v>
      </c>
      <c r="L20" s="37">
        <v>6126.2811829665843</v>
      </c>
      <c r="M20" s="37">
        <v>122525.62365933169</v>
      </c>
      <c r="N20" s="37">
        <v>2.8793521559942943</v>
      </c>
      <c r="O20" s="37">
        <v>57.587043119885891</v>
      </c>
    </row>
    <row r="21" spans="1:15" x14ac:dyDescent="0.25">
      <c r="A21" s="36">
        <v>18</v>
      </c>
      <c r="B21" s="37">
        <v>2014</v>
      </c>
      <c r="C21" s="37">
        <v>700074.79221800005</v>
      </c>
      <c r="D21" s="37">
        <v>1735136.81167</v>
      </c>
      <c r="E21" s="37">
        <v>4.9999999999999996E-2</v>
      </c>
      <c r="F21" s="37">
        <v>0.24147066533654549</v>
      </c>
      <c r="G21" s="37">
        <v>4.8294133067309097</v>
      </c>
      <c r="H21" s="37">
        <v>1475.0153986538307</v>
      </c>
      <c r="I21" s="37">
        <v>29500.307973076611</v>
      </c>
      <c r="J21" s="37">
        <v>0.69325723736730038</v>
      </c>
      <c r="K21" s="37">
        <v>13.865144747346008</v>
      </c>
      <c r="L21" s="37">
        <v>1475.0153986538307</v>
      </c>
      <c r="M21" s="37">
        <v>29500.307973076611</v>
      </c>
      <c r="N21" s="37">
        <v>0.69325723736730038</v>
      </c>
      <c r="O21" s="37">
        <v>13.865144747346008</v>
      </c>
    </row>
    <row r="22" spans="1:15" x14ac:dyDescent="0.25">
      <c r="A22" s="36">
        <v>19</v>
      </c>
      <c r="B22" s="37">
        <v>2014</v>
      </c>
      <c r="C22" s="37">
        <v>700075.09594399994</v>
      </c>
      <c r="D22" s="37">
        <v>1735136.1481399999</v>
      </c>
      <c r="E22" s="37">
        <v>4.9999999999999996E-2</v>
      </c>
      <c r="F22" s="37">
        <v>1.8649114456258098</v>
      </c>
      <c r="G22" s="37">
        <v>37.298228912516194</v>
      </c>
      <c r="H22" s="37">
        <v>16715.300543760553</v>
      </c>
      <c r="I22" s="37">
        <v>334306.0108752111</v>
      </c>
      <c r="J22" s="37">
        <v>7.8561912555674596</v>
      </c>
      <c r="K22" s="37">
        <v>157.12382511134922</v>
      </c>
      <c r="L22" s="37">
        <v>15166.552029882456</v>
      </c>
      <c r="M22" s="37">
        <v>303331.04059764912</v>
      </c>
      <c r="N22" s="37">
        <v>7.1282794540447538</v>
      </c>
      <c r="O22" s="37">
        <v>142.56558908089511</v>
      </c>
    </row>
    <row r="23" spans="1:15" x14ac:dyDescent="0.25">
      <c r="A23" s="36">
        <v>20</v>
      </c>
      <c r="B23" s="37">
        <v>2014</v>
      </c>
      <c r="C23" s="37">
        <v>700076.57710800006</v>
      </c>
      <c r="D23" s="37">
        <v>1735137.08363</v>
      </c>
      <c r="E23" s="37">
        <v>0.05</v>
      </c>
      <c r="F23" s="37">
        <v>0.91251485614332528</v>
      </c>
      <c r="G23" s="37">
        <v>18.250297122866506</v>
      </c>
      <c r="H23" s="37">
        <v>8174.72388083431</v>
      </c>
      <c r="I23" s="37">
        <v>163494.4776166862</v>
      </c>
      <c r="J23" s="37">
        <v>3.8421202239921253</v>
      </c>
      <c r="K23" s="37">
        <v>76.8424044798425</v>
      </c>
      <c r="L23" s="37">
        <v>6639.9435745728879</v>
      </c>
      <c r="M23" s="37">
        <v>132798.87149145774</v>
      </c>
      <c r="N23" s="37">
        <v>3.120773480049257</v>
      </c>
      <c r="O23" s="37">
        <v>62.415469600985148</v>
      </c>
    </row>
    <row r="24" spans="1:15" x14ac:dyDescent="0.25">
      <c r="A24" s="36" t="s">
        <v>104</v>
      </c>
      <c r="B24" s="37">
        <v>2014</v>
      </c>
      <c r="C24" s="37">
        <v>699901.8168108</v>
      </c>
      <c r="D24" s="37">
        <v>1734773.3445154994</v>
      </c>
      <c r="E24" s="37">
        <v>5.0000000000000128E-2</v>
      </c>
      <c r="F24" s="37">
        <v>40.249666978934066</v>
      </c>
      <c r="G24" s="37">
        <v>804.9933395786818</v>
      </c>
      <c r="H24" s="37">
        <v>357420.12190161378</v>
      </c>
      <c r="I24" s="37">
        <v>7148402.4380322592</v>
      </c>
      <c r="J24" s="37">
        <v>167.98745729375821</v>
      </c>
      <c r="K24" s="37">
        <v>3359.7491458751638</v>
      </c>
      <c r="L24" s="37">
        <v>285135.47743250249</v>
      </c>
      <c r="M24" s="37">
        <v>5702709.5486500449</v>
      </c>
      <c r="N24" s="37">
        <v>134.01367439327626</v>
      </c>
      <c r="O24" s="37">
        <v>2680.273487865521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D1" workbookViewId="0">
      <selection activeCell="I10" sqref="I10"/>
    </sheetView>
  </sheetViews>
  <sheetFormatPr baseColWidth="10" defaultRowHeight="15" x14ac:dyDescent="0.25"/>
  <cols>
    <col min="1" max="1" width="8.85546875" bestFit="1" customWidth="1"/>
    <col min="2" max="2" width="15.85546875" bestFit="1" customWidth="1"/>
    <col min="3" max="3" width="37.42578125" bestFit="1" customWidth="1"/>
    <col min="4" max="4" width="17" bestFit="1" customWidth="1"/>
    <col min="5" max="6" width="12" bestFit="1" customWidth="1"/>
    <col min="7" max="7" width="13.85546875" bestFit="1" customWidth="1"/>
    <col min="8" max="17" width="12" bestFit="1" customWidth="1"/>
    <col min="18" max="18" width="13.28515625" bestFit="1" customWidth="1"/>
    <col min="20" max="20" width="3.85546875" customWidth="1"/>
  </cols>
  <sheetData>
    <row r="1" spans="1:21" x14ac:dyDescent="0.25">
      <c r="A1" t="s">
        <v>149</v>
      </c>
      <c r="B1" t="s">
        <v>106</v>
      </c>
      <c r="C1" t="s">
        <v>150</v>
      </c>
      <c r="D1" t="s">
        <v>143</v>
      </c>
      <c r="E1" t="s">
        <v>141</v>
      </c>
      <c r="F1" t="s">
        <v>142</v>
      </c>
      <c r="G1" t="s">
        <v>151</v>
      </c>
      <c r="H1" t="s">
        <v>120</v>
      </c>
      <c r="I1" t="s">
        <v>152</v>
      </c>
      <c r="J1" t="s">
        <v>121</v>
      </c>
      <c r="K1" t="s">
        <v>122</v>
      </c>
      <c r="L1" t="s">
        <v>153</v>
      </c>
      <c r="M1" t="s">
        <v>123</v>
      </c>
      <c r="N1" t="s">
        <v>124</v>
      </c>
      <c r="O1" t="s">
        <v>125</v>
      </c>
      <c r="P1" t="s">
        <v>154</v>
      </c>
      <c r="Q1" t="s">
        <v>126</v>
      </c>
      <c r="R1" t="s">
        <v>127</v>
      </c>
      <c r="T1" s="54" t="s">
        <v>161</v>
      </c>
      <c r="U1" s="54">
        <f>+COUNTA(R2:R21)</f>
        <v>20</v>
      </c>
    </row>
    <row r="2" spans="1:21" x14ac:dyDescent="0.25">
      <c r="A2">
        <f>+'3PIVOT'!A4</f>
        <v>1</v>
      </c>
      <c r="B2" t="s">
        <v>159</v>
      </c>
      <c r="C2" t="str">
        <f ca="1">+INICIO!$C$6</f>
        <v>Parcels_San Gil_Individual2016.0120.xlsx</v>
      </c>
      <c r="D2">
        <f>+GETPIVOTDATA("FECHA_MEDICION",'3PIVOT'!$A$3,"Parcela",1)</f>
        <v>2014</v>
      </c>
      <c r="E2">
        <f>'3PIVOT'!C4</f>
        <v>700072.38227299997</v>
      </c>
      <c r="F2">
        <f>'3PIVOT'!D4</f>
        <v>1735139.8652300001</v>
      </c>
      <c r="G2">
        <f>'3PIVOT'!E4</f>
        <v>0.05</v>
      </c>
      <c r="H2">
        <f>'3PIVOT'!F4</f>
        <v>4.1410567805579008</v>
      </c>
      <c r="I2">
        <f>'3PIVOT'!G4</f>
        <v>82.821135611158013</v>
      </c>
      <c r="J2">
        <f>'3PIVOT'!H4</f>
        <v>43953.665126758009</v>
      </c>
      <c r="K2">
        <f>'3PIVOT'!I4</f>
        <v>879073.30253515998</v>
      </c>
      <c r="L2">
        <f>'3PIVOT'!J4</f>
        <v>20.658222609576256</v>
      </c>
      <c r="M2">
        <f>'3PIVOT'!K4</f>
        <v>413.16445219152519</v>
      </c>
      <c r="N2">
        <f>'3PIVOT'!L4</f>
        <v>17659.327779094419</v>
      </c>
      <c r="O2">
        <f>'3PIVOT'!M4</f>
        <v>353186.55558188836</v>
      </c>
      <c r="P2">
        <f>'3PIVOT'!N4</f>
        <v>8.2998840561743794</v>
      </c>
      <c r="Q2">
        <f>'3PIVOT'!O4</f>
        <v>165.99768112348758</v>
      </c>
      <c r="R2" t="str">
        <f>+INICIO!$C$30</f>
        <v>UVG_B_Kg</v>
      </c>
    </row>
    <row r="3" spans="1:21" x14ac:dyDescent="0.25">
      <c r="A3">
        <f>+'3PIVOT'!A5</f>
        <v>2</v>
      </c>
      <c r="B3" t="s">
        <v>159</v>
      </c>
      <c r="C3" t="str">
        <f ca="1">+INICIO!$C$6</f>
        <v>Parcels_San Gil_Individual2016.0120.xlsx</v>
      </c>
      <c r="D3">
        <f>+GETPIVOTDATA("FECHA_MEDICION",'3PIVOT'!$A$3,"Parcela",1)</f>
        <v>2014</v>
      </c>
      <c r="E3">
        <f>'3PIVOT'!C5</f>
        <v>700073.52631800005</v>
      </c>
      <c r="F3">
        <f>'3PIVOT'!D5</f>
        <v>1735139.6190800001</v>
      </c>
      <c r="G3">
        <f>'3PIVOT'!E5</f>
        <v>0.05</v>
      </c>
      <c r="H3">
        <f>'3PIVOT'!F5</f>
        <v>1.9761795888324893</v>
      </c>
      <c r="I3">
        <f>'3PIVOT'!G5</f>
        <v>39.523591776649781</v>
      </c>
      <c r="J3">
        <f>'3PIVOT'!H5</f>
        <v>15686.03351061174</v>
      </c>
      <c r="K3">
        <f>'3PIVOT'!I5</f>
        <v>313720.67021223484</v>
      </c>
      <c r="L3">
        <f>'3PIVOT'!J5</f>
        <v>7.3724357499875186</v>
      </c>
      <c r="M3">
        <f>'3PIVOT'!K5</f>
        <v>147.44871499975034</v>
      </c>
      <c r="N3">
        <f>'3PIVOT'!L5</f>
        <v>15686.03351061174</v>
      </c>
      <c r="O3">
        <f>'3PIVOT'!M5</f>
        <v>313720.67021223484</v>
      </c>
      <c r="P3">
        <f>'3PIVOT'!N5</f>
        <v>7.3724357499875186</v>
      </c>
      <c r="Q3">
        <f>'3PIVOT'!O5</f>
        <v>147.44871499975034</v>
      </c>
      <c r="R3" t="str">
        <f>+INICIO!$C$30</f>
        <v>UVG_B_Kg</v>
      </c>
    </row>
    <row r="4" spans="1:21" x14ac:dyDescent="0.25">
      <c r="A4">
        <f>+'3PIVOT'!A6</f>
        <v>3</v>
      </c>
      <c r="B4" t="s">
        <v>159</v>
      </c>
      <c r="C4" t="str">
        <f ca="1">+INICIO!$C$6</f>
        <v>Parcels_San Gil_Individual2016.0120.xlsx</v>
      </c>
      <c r="D4">
        <f>+GETPIVOTDATA("FECHA_MEDICION",'3PIVOT'!$A$3,"Parcela",1)</f>
        <v>2014</v>
      </c>
      <c r="E4">
        <f>'3PIVOT'!C6</f>
        <v>700074.22583300003</v>
      </c>
      <c r="F4">
        <f>'3PIVOT'!D6</f>
        <v>1735139.11277</v>
      </c>
      <c r="G4">
        <f>'3PIVOT'!E6</f>
        <v>4.9999999999999996E-2</v>
      </c>
      <c r="H4">
        <f>'3PIVOT'!F6</f>
        <v>1.4662527626632256</v>
      </c>
      <c r="I4">
        <f>'3PIVOT'!G6</f>
        <v>29.325055253264512</v>
      </c>
      <c r="J4">
        <f>'3PIVOT'!H6</f>
        <v>12050.92507436624</v>
      </c>
      <c r="K4">
        <f>'3PIVOT'!I6</f>
        <v>241018.50148732483</v>
      </c>
      <c r="L4">
        <f>'3PIVOT'!J6</f>
        <v>5.6639347849521329</v>
      </c>
      <c r="M4">
        <f>'3PIVOT'!K6</f>
        <v>113.27869569904264</v>
      </c>
      <c r="N4">
        <f>'3PIVOT'!L6</f>
        <v>12050.92507436624</v>
      </c>
      <c r="O4">
        <f>'3PIVOT'!M6</f>
        <v>241018.50148732483</v>
      </c>
      <c r="P4">
        <f>'3PIVOT'!N6</f>
        <v>5.6639347849521329</v>
      </c>
      <c r="Q4">
        <f>'3PIVOT'!O6</f>
        <v>113.27869569904264</v>
      </c>
      <c r="R4" t="str">
        <f>+INICIO!$C$30</f>
        <v>UVG_B_Kg</v>
      </c>
    </row>
    <row r="5" spans="1:21" x14ac:dyDescent="0.25">
      <c r="A5">
        <f>+'3PIVOT'!A7</f>
        <v>4</v>
      </c>
      <c r="B5" t="s">
        <v>159</v>
      </c>
      <c r="C5" t="str">
        <f ca="1">+INICIO!$C$6</f>
        <v>Parcels_San Gil_Individual2016.0120.xlsx</v>
      </c>
      <c r="D5">
        <f>+GETPIVOTDATA("FECHA_MEDICION",'3PIVOT'!$A$3,"Parcela",1)</f>
        <v>2014</v>
      </c>
      <c r="E5">
        <f>'3PIVOT'!C7</f>
        <v>700074.77506500005</v>
      </c>
      <c r="F5">
        <f>'3PIVOT'!D7</f>
        <v>1735138.7588899999</v>
      </c>
      <c r="G5">
        <f>'3PIVOT'!E7</f>
        <v>4.9999999999999996E-2</v>
      </c>
      <c r="H5">
        <f>'3PIVOT'!F7</f>
        <v>2.2381687811877935</v>
      </c>
      <c r="I5">
        <f>'3PIVOT'!G7</f>
        <v>44.763375623755863</v>
      </c>
      <c r="J5">
        <f>'3PIVOT'!H7</f>
        <v>20515.47226700337</v>
      </c>
      <c r="K5">
        <f>'3PIVOT'!I7</f>
        <v>410309.44534006726</v>
      </c>
      <c r="L5">
        <f>'3PIVOT'!J7</f>
        <v>9.6422719654915809</v>
      </c>
      <c r="M5">
        <f>'3PIVOT'!K7</f>
        <v>192.84543930983165</v>
      </c>
      <c r="N5">
        <f>'3PIVOT'!L7</f>
        <v>17453.898915772112</v>
      </c>
      <c r="O5">
        <f>'3PIVOT'!M7</f>
        <v>349077.97831544216</v>
      </c>
      <c r="P5">
        <f>'3PIVOT'!N7</f>
        <v>8.2033324904128904</v>
      </c>
      <c r="Q5">
        <f>'3PIVOT'!O7</f>
        <v>164.06664980825781</v>
      </c>
      <c r="R5" t="str">
        <f>+INICIO!$C$30</f>
        <v>UVG_B_Kg</v>
      </c>
    </row>
    <row r="6" spans="1:21" x14ac:dyDescent="0.25">
      <c r="A6">
        <f>+'3PIVOT'!A8</f>
        <v>5</v>
      </c>
      <c r="B6" t="s">
        <v>159</v>
      </c>
      <c r="C6" t="str">
        <f ca="1">+INICIO!$C$6</f>
        <v>Parcels_San Gil_Individual2016.0120.xlsx</v>
      </c>
      <c r="D6">
        <f>+GETPIVOTDATA("FECHA_MEDICION",'3PIVOT'!$A$3,"Parcela",1)</f>
        <v>2014</v>
      </c>
      <c r="E6">
        <f>'3PIVOT'!C8</f>
        <v>700075.57251199998</v>
      </c>
      <c r="F6">
        <f>'3PIVOT'!D8</f>
        <v>1735138.4071899999</v>
      </c>
      <c r="G6">
        <f>'3PIVOT'!E8</f>
        <v>4.9999999999999996E-2</v>
      </c>
      <c r="H6">
        <f>'3PIVOT'!F8</f>
        <v>2.0904322450600796</v>
      </c>
      <c r="I6">
        <f>'3PIVOT'!G8</f>
        <v>41.808644901201589</v>
      </c>
      <c r="J6">
        <f>'3PIVOT'!H8</f>
        <v>18301.414419899596</v>
      </c>
      <c r="K6">
        <f>'3PIVOT'!I8</f>
        <v>366028.28839799191</v>
      </c>
      <c r="L6">
        <f>'3PIVOT'!J8</f>
        <v>8.6016647773528128</v>
      </c>
      <c r="M6">
        <f>'3PIVOT'!K8</f>
        <v>172.03329554705621</v>
      </c>
      <c r="N6">
        <f>'3PIVOT'!L8</f>
        <v>18301.414419899596</v>
      </c>
      <c r="O6">
        <f>'3PIVOT'!M8</f>
        <v>366028.28839799191</v>
      </c>
      <c r="P6">
        <f>'3PIVOT'!N8</f>
        <v>8.6016647773528128</v>
      </c>
      <c r="Q6">
        <f>'3PIVOT'!O8</f>
        <v>172.03329554705621</v>
      </c>
      <c r="R6" t="str">
        <f>+INICIO!$C$30</f>
        <v>UVG_B_Kg</v>
      </c>
    </row>
    <row r="7" spans="1:21" x14ac:dyDescent="0.25">
      <c r="A7">
        <f>+'3PIVOT'!A9</f>
        <v>6</v>
      </c>
      <c r="B7" t="s">
        <v>159</v>
      </c>
      <c r="C7" t="str">
        <f ca="1">+INICIO!$C$6</f>
        <v>Parcels_San Gil_Individual2016.0120.xlsx</v>
      </c>
      <c r="D7">
        <f>+GETPIVOTDATA("FECHA_MEDICION",'3PIVOT'!$A$3,"Parcela",1)</f>
        <v>2014</v>
      </c>
      <c r="E7">
        <f>'3PIVOT'!C9</f>
        <v>700076.61230599997</v>
      </c>
      <c r="F7">
        <f>'3PIVOT'!D9</f>
        <v>1735138.72382</v>
      </c>
      <c r="G7">
        <f>'3PIVOT'!E9</f>
        <v>4.9999999999999996E-2</v>
      </c>
      <c r="H7">
        <f>'3PIVOT'!F9</f>
        <v>0.89250997952342881</v>
      </c>
      <c r="I7">
        <f>'3PIVOT'!G9</f>
        <v>17.850199590468577</v>
      </c>
      <c r="J7">
        <f>'3PIVOT'!H9</f>
        <v>7151.8790453060719</v>
      </c>
      <c r="K7">
        <f>'3PIVOT'!I9</f>
        <v>143037.58090612141</v>
      </c>
      <c r="L7">
        <f>'3PIVOT'!J9</f>
        <v>3.3613831512938539</v>
      </c>
      <c r="M7">
        <f>'3PIVOT'!K9</f>
        <v>67.227663025877064</v>
      </c>
      <c r="N7">
        <f>'3PIVOT'!L9</f>
        <v>7151.8790453060719</v>
      </c>
      <c r="O7">
        <f>'3PIVOT'!M9</f>
        <v>143037.58090612141</v>
      </c>
      <c r="P7">
        <f>'3PIVOT'!N9</f>
        <v>3.3613831512938539</v>
      </c>
      <c r="Q7">
        <f>'3PIVOT'!O9</f>
        <v>67.227663025877064</v>
      </c>
      <c r="R7" t="str">
        <f>+INICIO!$C$30</f>
        <v>UVG_B_Kg</v>
      </c>
    </row>
    <row r="8" spans="1:21" x14ac:dyDescent="0.25">
      <c r="A8">
        <f>+'3PIVOT'!A10</f>
        <v>7</v>
      </c>
      <c r="B8" t="s">
        <v>159</v>
      </c>
      <c r="C8" t="str">
        <f ca="1">+INICIO!$C$6</f>
        <v>Parcels_San Gil_Individual2016.0120.xlsx</v>
      </c>
      <c r="D8">
        <f>+GETPIVOTDATA("FECHA_MEDICION",'3PIVOT'!$A$3,"Parcela",1)</f>
        <v>2014</v>
      </c>
      <c r="E8">
        <f>'3PIVOT'!C10</f>
        <v>700076.65292100003</v>
      </c>
      <c r="F8">
        <f>'3PIVOT'!D10</f>
        <v>1735139.74911</v>
      </c>
      <c r="G8">
        <f>'3PIVOT'!E10</f>
        <v>5.000000000000001E-2</v>
      </c>
      <c r="H8">
        <f>'3PIVOT'!F10</f>
        <v>2.380175837713522</v>
      </c>
      <c r="I8">
        <f>'3PIVOT'!G10</f>
        <v>47.603516754270458</v>
      </c>
      <c r="J8">
        <f>'3PIVOT'!H10</f>
        <v>19752.256014697534</v>
      </c>
      <c r="K8">
        <f>'3PIVOT'!I10</f>
        <v>395045.12029395066</v>
      </c>
      <c r="L8">
        <f>'3PIVOT'!J10</f>
        <v>9.2835603269078408</v>
      </c>
      <c r="M8">
        <f>'3PIVOT'!K10</f>
        <v>185.67120653815678</v>
      </c>
      <c r="N8">
        <f>'3PIVOT'!L10</f>
        <v>19159.61146330538</v>
      </c>
      <c r="O8">
        <f>'3PIVOT'!M10</f>
        <v>383192.22926610755</v>
      </c>
      <c r="P8">
        <f>'3PIVOT'!N10</f>
        <v>9.0050173877535293</v>
      </c>
      <c r="Q8">
        <f>'3PIVOT'!O10</f>
        <v>180.10034775507054</v>
      </c>
      <c r="R8" t="str">
        <f>+INICIO!$C$30</f>
        <v>UVG_B_Kg</v>
      </c>
    </row>
    <row r="9" spans="1:21" x14ac:dyDescent="0.25">
      <c r="A9">
        <f>+'3PIVOT'!A11</f>
        <v>8</v>
      </c>
      <c r="B9" t="s">
        <v>159</v>
      </c>
      <c r="C9" t="str">
        <f ca="1">+INICIO!$C$6</f>
        <v>Parcels_San Gil_Individual2016.0120.xlsx</v>
      </c>
      <c r="D9">
        <f>+GETPIVOTDATA("FECHA_MEDICION",'3PIVOT'!$A$3,"Parcela",1)</f>
        <v>2014</v>
      </c>
      <c r="E9">
        <f>'3PIVOT'!C11</f>
        <v>700088.93505700002</v>
      </c>
      <c r="F9">
        <f>'3PIVOT'!D11</f>
        <v>1733321.83849</v>
      </c>
      <c r="G9">
        <f>'3PIVOT'!E11</f>
        <v>5.000000000000001E-2</v>
      </c>
      <c r="H9">
        <f>'3PIVOT'!F11</f>
        <v>2.2124257855861149</v>
      </c>
      <c r="I9">
        <f>'3PIVOT'!G11</f>
        <v>44.248515711722298</v>
      </c>
      <c r="J9">
        <f>'3PIVOT'!H11</f>
        <v>17662.426143275516</v>
      </c>
      <c r="K9">
        <f>'3PIVOT'!I11</f>
        <v>353248.52286551037</v>
      </c>
      <c r="L9">
        <f>'3PIVOT'!J11</f>
        <v>8.3013402873394906</v>
      </c>
      <c r="M9">
        <f>'3PIVOT'!K11</f>
        <v>166.02680574678979</v>
      </c>
      <c r="N9">
        <f>'3PIVOT'!L11</f>
        <v>17662.426143275516</v>
      </c>
      <c r="O9">
        <f>'3PIVOT'!M11</f>
        <v>353248.52286551037</v>
      </c>
      <c r="P9">
        <f>'3PIVOT'!N11</f>
        <v>8.3013402873394906</v>
      </c>
      <c r="Q9">
        <f>'3PIVOT'!O11</f>
        <v>166.02680574678979</v>
      </c>
      <c r="R9" t="str">
        <f>+INICIO!$C$30</f>
        <v>UVG_B_Kg</v>
      </c>
    </row>
    <row r="10" spans="1:21" x14ac:dyDescent="0.25">
      <c r="A10">
        <f>+'3PIVOT'!A12</f>
        <v>9</v>
      </c>
      <c r="B10" t="s">
        <v>159</v>
      </c>
      <c r="C10" t="str">
        <f ca="1">+INICIO!$C$6</f>
        <v>Parcels_San Gil_Individual2016.0120.xlsx</v>
      </c>
      <c r="D10">
        <f>+GETPIVOTDATA("FECHA_MEDICION",'3PIVOT'!$A$3,"Parcela",1)</f>
        <v>2014</v>
      </c>
      <c r="E10">
        <f>'3PIVOT'!C12</f>
        <v>700087.55756900006</v>
      </c>
      <c r="F10">
        <f>'3PIVOT'!D12</f>
        <v>1733320.3914699999</v>
      </c>
      <c r="G10">
        <f>'3PIVOT'!E12</f>
        <v>5.000000000000001E-2</v>
      </c>
      <c r="H10">
        <f>'3PIVOT'!F12</f>
        <v>3.3448317071284772</v>
      </c>
      <c r="I10">
        <f>'3PIVOT'!G12</f>
        <v>66.896634142569539</v>
      </c>
      <c r="J10">
        <f>'3PIVOT'!H12</f>
        <v>32746.833832388336</v>
      </c>
      <c r="K10">
        <f>'3PIVOT'!I12</f>
        <v>654936.67664776673</v>
      </c>
      <c r="L10">
        <f>'3PIVOT'!J12</f>
        <v>15.391011901222519</v>
      </c>
      <c r="M10">
        <f>'3PIVOT'!K12</f>
        <v>307.82023802445036</v>
      </c>
      <c r="N10">
        <f>'3PIVOT'!L12</f>
        <v>17958.689621352012</v>
      </c>
      <c r="O10">
        <f>'3PIVOT'!M12</f>
        <v>359173.79242704029</v>
      </c>
      <c r="P10">
        <f>'3PIVOT'!N12</f>
        <v>8.4405841220354461</v>
      </c>
      <c r="Q10">
        <f>'3PIVOT'!O12</f>
        <v>168.81168244070895</v>
      </c>
      <c r="R10" t="str">
        <f>+INICIO!$C$30</f>
        <v>UVG_B_Kg</v>
      </c>
    </row>
    <row r="11" spans="1:21" x14ac:dyDescent="0.25">
      <c r="A11">
        <f>+'3PIVOT'!A13</f>
        <v>10</v>
      </c>
      <c r="B11" t="s">
        <v>159</v>
      </c>
      <c r="C11" t="str">
        <f ca="1">+INICIO!$C$6</f>
        <v>Parcels_San Gil_Individual2016.0120.xlsx</v>
      </c>
      <c r="D11">
        <f>+GETPIVOTDATA("FECHA_MEDICION",'3PIVOT'!$A$3,"Parcela",1)</f>
        <v>2014</v>
      </c>
      <c r="E11">
        <f>'3PIVOT'!C13</f>
        <v>700085.95488900004</v>
      </c>
      <c r="F11">
        <f>'3PIVOT'!D13</f>
        <v>1733321.966</v>
      </c>
      <c r="G11">
        <f>'3PIVOT'!E13</f>
        <v>5.0000000000000017E-2</v>
      </c>
      <c r="H11">
        <f>'3PIVOT'!F13</f>
        <v>4.3823843070791693</v>
      </c>
      <c r="I11">
        <f>'3PIVOT'!G13</f>
        <v>87.64768614158335</v>
      </c>
      <c r="J11">
        <f>'3PIVOT'!H13</f>
        <v>42624.740258884376</v>
      </c>
      <c r="K11">
        <f>'3PIVOT'!I13</f>
        <v>852494.80517768767</v>
      </c>
      <c r="L11">
        <f>'3PIVOT'!J13</f>
        <v>20.033627921675659</v>
      </c>
      <c r="M11">
        <f>'3PIVOT'!K13</f>
        <v>400.67255843351296</v>
      </c>
      <c r="N11">
        <f>'3PIVOT'!L13</f>
        <v>25397.948444732046</v>
      </c>
      <c r="O11">
        <f>'3PIVOT'!M13</f>
        <v>507958.96889464103</v>
      </c>
      <c r="P11">
        <f>'3PIVOT'!N13</f>
        <v>11.937035769024064</v>
      </c>
      <c r="Q11">
        <f>'3PIVOT'!O13</f>
        <v>238.74071538048128</v>
      </c>
      <c r="R11" t="str">
        <f>+INICIO!$C$30</f>
        <v>UVG_B_Kg</v>
      </c>
    </row>
    <row r="12" spans="1:21" x14ac:dyDescent="0.25">
      <c r="A12">
        <f>+'3PIVOT'!A14</f>
        <v>11</v>
      </c>
      <c r="B12" t="s">
        <v>159</v>
      </c>
      <c r="C12" t="str">
        <f ca="1">+INICIO!$C$6</f>
        <v>Parcels_San Gil_Individual2016.0120.xlsx</v>
      </c>
      <c r="D12">
        <f>+GETPIVOTDATA("FECHA_MEDICION",'3PIVOT'!$A$3,"Parcela",1)</f>
        <v>2014</v>
      </c>
      <c r="E12">
        <f>'3PIVOT'!C14</f>
        <v>698326.676477</v>
      </c>
      <c r="F12">
        <f>'3PIVOT'!D14</f>
        <v>1733306.19408</v>
      </c>
      <c r="G12">
        <f>'3PIVOT'!E14</f>
        <v>5.000000000000001E-2</v>
      </c>
      <c r="H12">
        <f>'3PIVOT'!F14</f>
        <v>2.5906758972728166</v>
      </c>
      <c r="I12">
        <f>'3PIVOT'!G14</f>
        <v>51.813517945456326</v>
      </c>
      <c r="J12">
        <f>'3PIVOT'!H14</f>
        <v>21107.241359270614</v>
      </c>
      <c r="K12">
        <f>'3PIVOT'!I14</f>
        <v>422144.82718541234</v>
      </c>
      <c r="L12">
        <f>'3PIVOT'!J14</f>
        <v>9.9204034388571873</v>
      </c>
      <c r="M12">
        <f>'3PIVOT'!K14</f>
        <v>198.40806877714377</v>
      </c>
      <c r="N12">
        <f>'3PIVOT'!L14</f>
        <v>21107.241359270614</v>
      </c>
      <c r="O12">
        <f>'3PIVOT'!M14</f>
        <v>422144.82718541234</v>
      </c>
      <c r="P12">
        <f>'3PIVOT'!N14</f>
        <v>9.9204034388571873</v>
      </c>
      <c r="Q12">
        <f>'3PIVOT'!O14</f>
        <v>198.40806877714377</v>
      </c>
      <c r="R12" t="str">
        <f>+INICIO!$C$30</f>
        <v>UVG_B_Kg</v>
      </c>
    </row>
    <row r="13" spans="1:21" x14ac:dyDescent="0.25">
      <c r="A13">
        <f>+'3PIVOT'!A15</f>
        <v>12</v>
      </c>
      <c r="B13" t="s">
        <v>159</v>
      </c>
      <c r="C13" t="str">
        <f ca="1">+INICIO!$C$6</f>
        <v>Parcels_San Gil_Individual2016.0120.xlsx</v>
      </c>
      <c r="D13">
        <f>+GETPIVOTDATA("FECHA_MEDICION",'3PIVOT'!$A$3,"Parcela",1)</f>
        <v>2014</v>
      </c>
      <c r="E13">
        <f>'3PIVOT'!C15</f>
        <v>698310.09492399998</v>
      </c>
      <c r="F13">
        <f>'3PIVOT'!D15</f>
        <v>1735120.9251000001</v>
      </c>
      <c r="G13">
        <f>'3PIVOT'!E15</f>
        <v>5.0000000000000017E-2</v>
      </c>
      <c r="H13">
        <f>'3PIVOT'!F15</f>
        <v>2.1863163310553775</v>
      </c>
      <c r="I13">
        <f>'3PIVOT'!G15</f>
        <v>43.726326621107539</v>
      </c>
      <c r="J13">
        <f>'3PIVOT'!H15</f>
        <v>16979.987842566443</v>
      </c>
      <c r="K13">
        <f>'3PIVOT'!I15</f>
        <v>339599.75685132883</v>
      </c>
      <c r="L13">
        <f>'3PIVOT'!J15</f>
        <v>7.9805942860062258</v>
      </c>
      <c r="M13">
        <f>'3PIVOT'!K15</f>
        <v>159.61188572012449</v>
      </c>
      <c r="N13">
        <f>'3PIVOT'!L15</f>
        <v>16979.987842566443</v>
      </c>
      <c r="O13">
        <f>'3PIVOT'!M15</f>
        <v>339599.75685132883</v>
      </c>
      <c r="P13">
        <f>'3PIVOT'!N15</f>
        <v>7.9805942860062258</v>
      </c>
      <c r="Q13">
        <f>'3PIVOT'!O15</f>
        <v>159.61188572012449</v>
      </c>
      <c r="R13" t="str">
        <f>+INICIO!$C$30</f>
        <v>UVG_B_Kg</v>
      </c>
    </row>
    <row r="14" spans="1:21" x14ac:dyDescent="0.25">
      <c r="A14">
        <f>+'3PIVOT'!A16</f>
        <v>13</v>
      </c>
      <c r="B14" t="s">
        <v>159</v>
      </c>
      <c r="C14" t="str">
        <f ca="1">+INICIO!$C$6</f>
        <v>Parcels_San Gil_Individual2016.0120.xlsx</v>
      </c>
      <c r="D14">
        <f>+GETPIVOTDATA("FECHA_MEDICION",'3PIVOT'!$A$3,"Parcela",1)</f>
        <v>2014</v>
      </c>
      <c r="E14">
        <f>'3PIVOT'!C16</f>
        <v>700073.40041</v>
      </c>
      <c r="F14">
        <f>'3PIVOT'!D16</f>
        <v>1735137.0044</v>
      </c>
      <c r="G14">
        <f>'3PIVOT'!E16</f>
        <v>5.000000000000001E-2</v>
      </c>
      <c r="H14">
        <f>'3PIVOT'!F16</f>
        <v>3.7026269090476562</v>
      </c>
      <c r="I14">
        <f>'3PIVOT'!G16</f>
        <v>74.052538180953107</v>
      </c>
      <c r="J14">
        <f>'3PIVOT'!H16</f>
        <v>34072.32972931143</v>
      </c>
      <c r="K14">
        <f>'3PIVOT'!I16</f>
        <v>681446.59458622849</v>
      </c>
      <c r="L14">
        <f>'3PIVOT'!J16</f>
        <v>16.01399497277637</v>
      </c>
      <c r="M14">
        <f>'3PIVOT'!K16</f>
        <v>320.27989945552736</v>
      </c>
      <c r="N14">
        <f>'3PIVOT'!L16</f>
        <v>26834.70535581579</v>
      </c>
      <c r="O14">
        <f>'3PIVOT'!M16</f>
        <v>536694.10711631575</v>
      </c>
      <c r="P14">
        <f>'3PIVOT'!N16</f>
        <v>12.612311517233422</v>
      </c>
      <c r="Q14">
        <f>'3PIVOT'!O16</f>
        <v>252.24623034466836</v>
      </c>
      <c r="R14" t="str">
        <f>+INICIO!$C$30</f>
        <v>UVG_B_Kg</v>
      </c>
    </row>
    <row r="15" spans="1:21" x14ac:dyDescent="0.25">
      <c r="A15">
        <f>+'3PIVOT'!A17</f>
        <v>14</v>
      </c>
      <c r="B15" t="s">
        <v>159</v>
      </c>
      <c r="C15" t="str">
        <f ca="1">+INICIO!$C$6</f>
        <v>Parcels_San Gil_Individual2016.0120.xlsx</v>
      </c>
      <c r="D15">
        <f>+GETPIVOTDATA("FECHA_MEDICION",'3PIVOT'!$A$3,"Parcela",1)</f>
        <v>2014</v>
      </c>
      <c r="E15">
        <f>'3PIVOT'!C17</f>
        <v>700078.53799900005</v>
      </c>
      <c r="F15">
        <f>'3PIVOT'!D17</f>
        <v>1735139.91946</v>
      </c>
      <c r="G15">
        <f>'3PIVOT'!E17</f>
        <v>4.9999999999999996E-2</v>
      </c>
      <c r="H15">
        <f>'3PIVOT'!F17</f>
        <v>1.5098101594070847</v>
      </c>
      <c r="I15">
        <f>'3PIVOT'!G17</f>
        <v>30.196203188141695</v>
      </c>
      <c r="J15">
        <f>'3PIVOT'!H17</f>
        <v>12698.233683778202</v>
      </c>
      <c r="K15">
        <f>'3PIVOT'!I17</f>
        <v>253964.673675564</v>
      </c>
      <c r="L15">
        <f>'3PIVOT'!J17</f>
        <v>5.9681698313757545</v>
      </c>
      <c r="M15">
        <f>'3PIVOT'!K17</f>
        <v>119.3633966275151</v>
      </c>
      <c r="N15">
        <f>'3PIVOT'!L17</f>
        <v>12698.233683778202</v>
      </c>
      <c r="O15">
        <f>'3PIVOT'!M17</f>
        <v>253964.673675564</v>
      </c>
      <c r="P15">
        <f>'3PIVOT'!N17</f>
        <v>5.9681698313757545</v>
      </c>
      <c r="Q15">
        <f>'3PIVOT'!O17</f>
        <v>119.3633966275151</v>
      </c>
      <c r="R15" t="str">
        <f>+INICIO!$C$30</f>
        <v>UVG_B_Kg</v>
      </c>
    </row>
    <row r="16" spans="1:21" x14ac:dyDescent="0.25">
      <c r="A16">
        <f>+'3PIVOT'!A18</f>
        <v>15</v>
      </c>
      <c r="B16" t="s">
        <v>159</v>
      </c>
      <c r="C16" t="str">
        <f ca="1">+INICIO!$C$6</f>
        <v>Parcels_San Gil_Individual2016.0120.xlsx</v>
      </c>
      <c r="D16">
        <f>+GETPIVOTDATA("FECHA_MEDICION",'3PIVOT'!$A$3,"Parcela",1)</f>
        <v>2014</v>
      </c>
      <c r="E16">
        <f>'3PIVOT'!C18</f>
        <v>700079.21360200003</v>
      </c>
      <c r="F16">
        <f>'3PIVOT'!D18</f>
        <v>1735136.4918899999</v>
      </c>
      <c r="G16">
        <f>'3PIVOT'!E18</f>
        <v>0.05</v>
      </c>
      <c r="H16">
        <f>'3PIVOT'!F18</f>
        <v>0.57483291579059237</v>
      </c>
      <c r="I16">
        <f>'3PIVOT'!G18</f>
        <v>11.496658315811848</v>
      </c>
      <c r="J16">
        <f>'3PIVOT'!H18</f>
        <v>4269.8154491116684</v>
      </c>
      <c r="K16">
        <f>'3PIVOT'!I18</f>
        <v>85396.308982233357</v>
      </c>
      <c r="L16">
        <f>'3PIVOT'!J18</f>
        <v>2.0068132610824838</v>
      </c>
      <c r="M16">
        <f>'3PIVOT'!K18</f>
        <v>40.136265221649673</v>
      </c>
      <c r="N16">
        <f>'3PIVOT'!L18</f>
        <v>4269.8154491116684</v>
      </c>
      <c r="O16">
        <f>'3PIVOT'!M18</f>
        <v>85396.308982233357</v>
      </c>
      <c r="P16">
        <f>'3PIVOT'!N18</f>
        <v>2.0068132610824838</v>
      </c>
      <c r="Q16">
        <f>'3PIVOT'!O18</f>
        <v>40.136265221649673</v>
      </c>
      <c r="R16" t="str">
        <f>+INICIO!$C$30</f>
        <v>UVG_B_Kg</v>
      </c>
    </row>
    <row r="17" spans="1:18" x14ac:dyDescent="0.25">
      <c r="A17">
        <f>+'3PIVOT'!A19</f>
        <v>16</v>
      </c>
      <c r="B17" t="s">
        <v>159</v>
      </c>
      <c r="C17" t="str">
        <f ca="1">+INICIO!$C$6</f>
        <v>Parcels_San Gil_Individual2016.0120.xlsx</v>
      </c>
      <c r="D17">
        <f>+GETPIVOTDATA("FECHA_MEDICION",'3PIVOT'!$A$3,"Parcela",1)</f>
        <v>2014</v>
      </c>
      <c r="E17">
        <f>'3PIVOT'!C19</f>
        <v>700078.19501200004</v>
      </c>
      <c r="F17">
        <f>'3PIVOT'!D19</f>
        <v>1735139.4039700001</v>
      </c>
      <c r="G17">
        <f>'3PIVOT'!E19</f>
        <v>4.9999999999999996E-2</v>
      </c>
      <c r="H17">
        <f>'3PIVOT'!F19</f>
        <v>0.74078754771647315</v>
      </c>
      <c r="I17">
        <f>'3PIVOT'!G19</f>
        <v>14.815750954329463</v>
      </c>
      <c r="J17">
        <f>'3PIVOT'!H19</f>
        <v>5355.5471381689349</v>
      </c>
      <c r="K17">
        <f>'3PIVOT'!I19</f>
        <v>107110.94276337868</v>
      </c>
      <c r="L17">
        <f>'3PIVOT'!J19</f>
        <v>2.5171071549393993</v>
      </c>
      <c r="M17">
        <f>'3PIVOT'!K19</f>
        <v>50.342143098787986</v>
      </c>
      <c r="N17">
        <f>'3PIVOT'!L19</f>
        <v>5355.5471381689349</v>
      </c>
      <c r="O17">
        <f>'3PIVOT'!M19</f>
        <v>107110.94276337868</v>
      </c>
      <c r="P17">
        <f>'3PIVOT'!N19</f>
        <v>2.5171071549393993</v>
      </c>
      <c r="Q17">
        <f>'3PIVOT'!O19</f>
        <v>50.342143098787986</v>
      </c>
      <c r="R17" t="str">
        <f>+INICIO!$C$30</f>
        <v>UVG_B_Kg</v>
      </c>
    </row>
    <row r="18" spans="1:18" x14ac:dyDescent="0.25">
      <c r="A18">
        <f>+'3PIVOT'!A20</f>
        <v>17</v>
      </c>
      <c r="B18" t="s">
        <v>159</v>
      </c>
      <c r="C18" t="str">
        <f ca="1">+INICIO!$C$6</f>
        <v>Parcels_San Gil_Individual2016.0120.xlsx</v>
      </c>
      <c r="D18">
        <f>+GETPIVOTDATA("FECHA_MEDICION",'3PIVOT'!$A$3,"Parcela",1)</f>
        <v>2014</v>
      </c>
      <c r="E18">
        <f>'3PIVOT'!C20</f>
        <v>700077.55777900002</v>
      </c>
      <c r="F18">
        <f>'3PIVOT'!D20</f>
        <v>1735138.4759200001</v>
      </c>
      <c r="G18">
        <f>'3PIVOT'!E20</f>
        <v>4.9999999999999996E-2</v>
      </c>
      <c r="H18">
        <f>'3PIVOT'!F20</f>
        <v>0.80130247620624662</v>
      </c>
      <c r="I18">
        <f>'3PIVOT'!G20</f>
        <v>16.026049524124932</v>
      </c>
      <c r="J18">
        <f>'3PIVOT'!H20</f>
        <v>6126.2811829665843</v>
      </c>
      <c r="K18">
        <f>'3PIVOT'!I20</f>
        <v>122525.62365933169</v>
      </c>
      <c r="L18">
        <f>'3PIVOT'!J20</f>
        <v>2.8793521559942943</v>
      </c>
      <c r="M18">
        <f>'3PIVOT'!K20</f>
        <v>57.587043119885891</v>
      </c>
      <c r="N18">
        <f>'3PIVOT'!L20</f>
        <v>6126.2811829665843</v>
      </c>
      <c r="O18">
        <f>'3PIVOT'!M20</f>
        <v>122525.62365933169</v>
      </c>
      <c r="P18">
        <f>'3PIVOT'!N20</f>
        <v>2.8793521559942943</v>
      </c>
      <c r="Q18">
        <f>'3PIVOT'!O20</f>
        <v>57.587043119885891</v>
      </c>
      <c r="R18" t="str">
        <f>+INICIO!$C$30</f>
        <v>UVG_B_Kg</v>
      </c>
    </row>
    <row r="19" spans="1:18" x14ac:dyDescent="0.25">
      <c r="A19">
        <f>+'3PIVOT'!A21</f>
        <v>18</v>
      </c>
      <c r="B19" t="s">
        <v>159</v>
      </c>
      <c r="C19" t="str">
        <f ca="1">+INICIO!$C$6</f>
        <v>Parcels_San Gil_Individual2016.0120.xlsx</v>
      </c>
      <c r="D19">
        <f>+GETPIVOTDATA("FECHA_MEDICION",'3PIVOT'!$A$3,"Parcela",1)</f>
        <v>2014</v>
      </c>
      <c r="E19">
        <f>'3PIVOT'!C21</f>
        <v>700074.79221800005</v>
      </c>
      <c r="F19">
        <f>'3PIVOT'!D21</f>
        <v>1735136.81167</v>
      </c>
      <c r="G19">
        <f>'3PIVOT'!E21</f>
        <v>4.9999999999999996E-2</v>
      </c>
      <c r="H19">
        <f>'3PIVOT'!F21</f>
        <v>0.24147066533654549</v>
      </c>
      <c r="I19">
        <f>'3PIVOT'!G21</f>
        <v>4.8294133067309097</v>
      </c>
      <c r="J19">
        <f>'3PIVOT'!H21</f>
        <v>1475.0153986538307</v>
      </c>
      <c r="K19">
        <f>'3PIVOT'!I21</f>
        <v>29500.307973076611</v>
      </c>
      <c r="L19">
        <f>'3PIVOT'!J21</f>
        <v>0.69325723736730038</v>
      </c>
      <c r="M19">
        <f>'3PIVOT'!K21</f>
        <v>13.865144747346008</v>
      </c>
      <c r="N19">
        <f>'3PIVOT'!L21</f>
        <v>1475.0153986538307</v>
      </c>
      <c r="O19">
        <f>'3PIVOT'!M21</f>
        <v>29500.307973076611</v>
      </c>
      <c r="P19">
        <f>'3PIVOT'!N21</f>
        <v>0.69325723736730038</v>
      </c>
      <c r="Q19">
        <f>'3PIVOT'!O21</f>
        <v>13.865144747346008</v>
      </c>
      <c r="R19" t="str">
        <f>+INICIO!$C$30</f>
        <v>UVG_B_Kg</v>
      </c>
    </row>
    <row r="20" spans="1:18" x14ac:dyDescent="0.25">
      <c r="A20">
        <f>+'3PIVOT'!A22</f>
        <v>19</v>
      </c>
      <c r="B20" t="s">
        <v>159</v>
      </c>
      <c r="C20" t="str">
        <f ca="1">+INICIO!$C$6</f>
        <v>Parcels_San Gil_Individual2016.0120.xlsx</v>
      </c>
      <c r="D20">
        <f>+GETPIVOTDATA("FECHA_MEDICION",'3PIVOT'!$A$3,"Parcela",1)</f>
        <v>2014</v>
      </c>
      <c r="E20">
        <f>'3PIVOT'!C22</f>
        <v>700075.09594399994</v>
      </c>
      <c r="F20">
        <f>'3PIVOT'!D22</f>
        <v>1735136.1481399999</v>
      </c>
      <c r="G20">
        <f>'3PIVOT'!E22</f>
        <v>4.9999999999999996E-2</v>
      </c>
      <c r="H20">
        <f>'3PIVOT'!F22</f>
        <v>1.8649114456258098</v>
      </c>
      <c r="I20">
        <f>'3PIVOT'!G22</f>
        <v>37.298228912516194</v>
      </c>
      <c r="J20">
        <f>'3PIVOT'!H22</f>
        <v>16715.300543760553</v>
      </c>
      <c r="K20">
        <f>'3PIVOT'!I22</f>
        <v>334306.0108752111</v>
      </c>
      <c r="L20">
        <f>'3PIVOT'!J22</f>
        <v>7.8561912555674596</v>
      </c>
      <c r="M20">
        <f>'3PIVOT'!K22</f>
        <v>157.12382511134922</v>
      </c>
      <c r="N20">
        <f>'3PIVOT'!L22</f>
        <v>15166.552029882456</v>
      </c>
      <c r="O20">
        <f>'3PIVOT'!M22</f>
        <v>303331.04059764912</v>
      </c>
      <c r="P20">
        <f>'3PIVOT'!N22</f>
        <v>7.1282794540447538</v>
      </c>
      <c r="Q20">
        <f>'3PIVOT'!O22</f>
        <v>142.56558908089511</v>
      </c>
      <c r="R20" t="str">
        <f>+INICIO!$C$30</f>
        <v>UVG_B_Kg</v>
      </c>
    </row>
    <row r="21" spans="1:18" x14ac:dyDescent="0.25">
      <c r="A21">
        <f>+'3PIVOT'!A23</f>
        <v>20</v>
      </c>
      <c r="B21" t="s">
        <v>159</v>
      </c>
      <c r="C21" t="str">
        <f ca="1">+INICIO!$C$6</f>
        <v>Parcels_San Gil_Individual2016.0120.xlsx</v>
      </c>
      <c r="D21">
        <f>+GETPIVOTDATA("FECHA_MEDICION",'3PIVOT'!$A$3,"Parcela",1)</f>
        <v>2014</v>
      </c>
      <c r="E21">
        <f>'3PIVOT'!C23</f>
        <v>700076.57710800006</v>
      </c>
      <c r="F21">
        <f>'3PIVOT'!D23</f>
        <v>1735137.08363</v>
      </c>
      <c r="G21">
        <f>'3PIVOT'!E23</f>
        <v>0.05</v>
      </c>
      <c r="H21">
        <f>'3PIVOT'!F23</f>
        <v>0.91251485614332528</v>
      </c>
      <c r="I21">
        <f>'3PIVOT'!G23</f>
        <v>18.250297122866506</v>
      </c>
      <c r="J21">
        <f>'3PIVOT'!H23</f>
        <v>8174.72388083431</v>
      </c>
      <c r="K21">
        <f>'3PIVOT'!I23</f>
        <v>163494.4776166862</v>
      </c>
      <c r="L21">
        <f>'3PIVOT'!J23</f>
        <v>3.8421202239921253</v>
      </c>
      <c r="M21">
        <f>'3PIVOT'!K23</f>
        <v>76.8424044798425</v>
      </c>
      <c r="N21">
        <f>'3PIVOT'!L23</f>
        <v>6639.9435745728879</v>
      </c>
      <c r="O21">
        <f>'3PIVOT'!M23</f>
        <v>132798.87149145774</v>
      </c>
      <c r="P21">
        <f>'3PIVOT'!N23</f>
        <v>3.120773480049257</v>
      </c>
      <c r="Q21">
        <f>'3PIVOT'!O23</f>
        <v>62.415469600985148</v>
      </c>
      <c r="R21" t="str">
        <f>+INICIO!$C$30</f>
        <v>UVG_B_Kg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INICIO</vt:lpstr>
      <vt:lpstr>1BASE</vt:lpstr>
      <vt:lpstr>2BASE</vt:lpstr>
      <vt:lpstr>3PIVOT</vt:lpstr>
      <vt:lpstr>4FINAL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2017-03-27T16:27:39Z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