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activeTab="8"/>
  </bookViews>
  <sheets>
    <sheet name="base de datos" sheetId="1" r:id="rId1"/>
    <sheet name="% de abundancia" sheetId="4" r:id="rId2"/>
    <sheet name="Hoja1" sheetId="8" r:id="rId3"/>
    <sheet name="cuadro 3" sheetId="5" r:id="rId4"/>
    <sheet name="anexo 2" sheetId="6" r:id="rId5"/>
    <sheet name="anexo 3" sheetId="7" r:id="rId6"/>
    <sheet name="analisis" sheetId="2" r:id="rId7"/>
    <sheet name="P. referencia" sheetId="9" r:id="rId8"/>
    <sheet name="Parcelas" sheetId="10" r:id="rId9"/>
  </sheets>
  <definedNames>
    <definedName name="_xlnm._FilterDatabase" localSheetId="0" hidden="1">'base de datos'!$A$1:$L$137</definedName>
  </definedNames>
  <calcPr calcId="152511"/>
  <pivotCaches>
    <pivotCache cacheId="35" r:id="rId10"/>
  </pivotCaches>
</workbook>
</file>

<file path=xl/calcChain.xml><?xml version="1.0" encoding="utf-8"?>
<calcChain xmlns="http://schemas.openxmlformats.org/spreadsheetml/2006/main">
  <c r="E7" i="10" l="1"/>
  <c r="E6" i="10"/>
  <c r="E5" i="10"/>
  <c r="E4" i="10"/>
  <c r="E3" i="10"/>
  <c r="E2" i="10"/>
  <c r="D16" i="5" l="1"/>
  <c r="D15" i="5"/>
  <c r="D14" i="5"/>
  <c r="J137" i="1"/>
  <c r="J135" i="1"/>
  <c r="J134" i="1"/>
  <c r="J115" i="1"/>
  <c r="J108" i="1"/>
  <c r="J111" i="1"/>
  <c r="J110" i="1"/>
  <c r="J107" i="1"/>
  <c r="J96" i="1"/>
  <c r="J97" i="1"/>
  <c r="J98" i="1"/>
  <c r="J99" i="1"/>
  <c r="J100" i="1"/>
  <c r="J101" i="1"/>
  <c r="J95" i="1"/>
  <c r="J80" i="1"/>
  <c r="J79" i="1"/>
  <c r="J69" i="1"/>
  <c r="J70" i="1"/>
  <c r="J68" i="1"/>
  <c r="J49" i="1"/>
  <c r="J48" i="1"/>
  <c r="J44" i="1"/>
  <c r="J40" i="1"/>
  <c r="J38" i="1"/>
  <c r="J37" i="1"/>
  <c r="J29" i="1"/>
  <c r="J3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9" i="1"/>
  <c r="J41" i="1"/>
  <c r="J42" i="1"/>
  <c r="J43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71" i="1"/>
  <c r="J72" i="1"/>
  <c r="J73" i="1"/>
  <c r="J74" i="1"/>
  <c r="J75" i="1"/>
  <c r="J76" i="1"/>
  <c r="J77" i="1"/>
  <c r="J78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102" i="1"/>
  <c r="J103" i="1"/>
  <c r="J104" i="1"/>
  <c r="J105" i="1"/>
  <c r="J106" i="1"/>
  <c r="J109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6" i="1"/>
  <c r="J3" i="1"/>
  <c r="J4" i="1"/>
  <c r="J5" i="1"/>
  <c r="J6" i="1"/>
  <c r="J7" i="1"/>
  <c r="J8" i="1"/>
  <c r="J9" i="1"/>
  <c r="J2" i="1"/>
  <c r="G16" i="5"/>
  <c r="I14" i="5"/>
  <c r="G14" i="5"/>
  <c r="E7" i="2"/>
  <c r="F16" i="5"/>
  <c r="G15" i="5"/>
  <c r="I16" i="5"/>
  <c r="E11" i="2"/>
  <c r="H17" i="5"/>
  <c r="E8" i="2"/>
  <c r="H15" i="5"/>
  <c r="E9" i="2"/>
  <c r="H14" i="5"/>
  <c r="F14" i="5"/>
  <c r="E10" i="2"/>
  <c r="G17" i="5"/>
  <c r="I15" i="5"/>
  <c r="E6" i="2"/>
  <c r="F17" i="5"/>
  <c r="H16" i="5"/>
  <c r="F15" i="5"/>
  <c r="I17" i="5" l="1"/>
  <c r="J14" i="5"/>
  <c r="J16" i="5"/>
  <c r="J15" i="5"/>
  <c r="J17" i="5"/>
  <c r="E17" i="5"/>
  <c r="E16" i="4"/>
  <c r="E15" i="4"/>
  <c r="E14" i="4"/>
  <c r="D16" i="4"/>
  <c r="D15" i="4"/>
  <c r="D14" i="4"/>
  <c r="G18" i="7"/>
  <c r="G17" i="7"/>
  <c r="G6" i="7"/>
  <c r="G7" i="7"/>
  <c r="G8" i="7"/>
  <c r="G9" i="7"/>
  <c r="G10" i="7"/>
  <c r="G11" i="7"/>
  <c r="G12" i="7"/>
  <c r="G13" i="7"/>
  <c r="G14" i="7"/>
  <c r="G15" i="7"/>
  <c r="G16" i="7"/>
  <c r="G5" i="7"/>
  <c r="G11" i="6"/>
  <c r="G6" i="6"/>
  <c r="G7" i="6"/>
  <c r="G8" i="6"/>
  <c r="G9" i="6"/>
  <c r="G10" i="6"/>
  <c r="G5" i="6"/>
  <c r="H3" i="1"/>
  <c r="I3" i="1" s="1"/>
  <c r="K3" i="1"/>
  <c r="L3" i="1"/>
  <c r="H4" i="1"/>
  <c r="I4" i="1" s="1"/>
  <c r="K4" i="1"/>
  <c r="L4" i="1"/>
  <c r="H5" i="1"/>
  <c r="I5" i="1" s="1"/>
  <c r="K5" i="1"/>
  <c r="L5" i="1"/>
  <c r="H6" i="1"/>
  <c r="I6" i="1" s="1"/>
  <c r="K6" i="1"/>
  <c r="L6" i="1"/>
  <c r="H7" i="1"/>
  <c r="I7" i="1" s="1"/>
  <c r="K7" i="1"/>
  <c r="L7" i="1"/>
  <c r="H8" i="1"/>
  <c r="I8" i="1" s="1"/>
  <c r="K8" i="1"/>
  <c r="L8" i="1"/>
  <c r="H9" i="1"/>
  <c r="I9" i="1" s="1"/>
  <c r="K9" i="1"/>
  <c r="L9" i="1"/>
  <c r="H10" i="1"/>
  <c r="I10" i="1" s="1"/>
  <c r="K10" i="1"/>
  <c r="L10" i="1"/>
  <c r="H11" i="1"/>
  <c r="I11" i="1" s="1"/>
  <c r="K11" i="1"/>
  <c r="L11" i="1"/>
  <c r="H12" i="1"/>
  <c r="I12" i="1" s="1"/>
  <c r="K12" i="1"/>
  <c r="L12" i="1"/>
  <c r="H13" i="1"/>
  <c r="I13" i="1" s="1"/>
  <c r="K13" i="1"/>
  <c r="L13" i="1"/>
  <c r="H14" i="1"/>
  <c r="I14" i="1" s="1"/>
  <c r="K14" i="1"/>
  <c r="L14" i="1"/>
  <c r="H15" i="1"/>
  <c r="I15" i="1" s="1"/>
  <c r="K15" i="1"/>
  <c r="L15" i="1"/>
  <c r="H16" i="1"/>
  <c r="I16" i="1" s="1"/>
  <c r="K16" i="1"/>
  <c r="L16" i="1"/>
  <c r="H17" i="1"/>
  <c r="I17" i="1" s="1"/>
  <c r="K17" i="1"/>
  <c r="L17" i="1"/>
  <c r="H18" i="1"/>
  <c r="I18" i="1" s="1"/>
  <c r="K18" i="1"/>
  <c r="L18" i="1"/>
  <c r="H19" i="1"/>
  <c r="I19" i="1" s="1"/>
  <c r="K19" i="1"/>
  <c r="L19" i="1"/>
  <c r="H20" i="1"/>
  <c r="I20" i="1" s="1"/>
  <c r="K20" i="1"/>
  <c r="L20" i="1"/>
  <c r="H21" i="1"/>
  <c r="I21" i="1" s="1"/>
  <c r="K21" i="1"/>
  <c r="L21" i="1"/>
  <c r="H22" i="1"/>
  <c r="I22" i="1" s="1"/>
  <c r="K22" i="1"/>
  <c r="L22" i="1"/>
  <c r="H23" i="1"/>
  <c r="I23" i="1" s="1"/>
  <c r="K23" i="1"/>
  <c r="L23" i="1"/>
  <c r="H24" i="1"/>
  <c r="I24" i="1" s="1"/>
  <c r="K24" i="1"/>
  <c r="L24" i="1"/>
  <c r="H25" i="1"/>
  <c r="I25" i="1" s="1"/>
  <c r="K25" i="1"/>
  <c r="L25" i="1"/>
  <c r="H26" i="1"/>
  <c r="I26" i="1" s="1"/>
  <c r="K26" i="1"/>
  <c r="L26" i="1"/>
  <c r="H27" i="1"/>
  <c r="I27" i="1" s="1"/>
  <c r="K27" i="1"/>
  <c r="L27" i="1"/>
  <c r="H28" i="1"/>
  <c r="I28" i="1" s="1"/>
  <c r="K28" i="1"/>
  <c r="L28" i="1"/>
  <c r="H29" i="1"/>
  <c r="I29" i="1" s="1"/>
  <c r="K29" i="1"/>
  <c r="L29" i="1"/>
  <c r="H30" i="1"/>
  <c r="I30" i="1" s="1"/>
  <c r="K30" i="1"/>
  <c r="L30" i="1"/>
  <c r="H31" i="1"/>
  <c r="I31" i="1" s="1"/>
  <c r="K31" i="1"/>
  <c r="L31" i="1"/>
  <c r="H32" i="1"/>
  <c r="I32" i="1" s="1"/>
  <c r="K32" i="1"/>
  <c r="L32" i="1"/>
  <c r="H33" i="1"/>
  <c r="I33" i="1" s="1"/>
  <c r="K33" i="1"/>
  <c r="L33" i="1"/>
  <c r="H34" i="1"/>
  <c r="I34" i="1" s="1"/>
  <c r="K34" i="1"/>
  <c r="L34" i="1"/>
  <c r="H35" i="1"/>
  <c r="I35" i="1" s="1"/>
  <c r="K35" i="1"/>
  <c r="L35" i="1"/>
  <c r="H36" i="1"/>
  <c r="I36" i="1" s="1"/>
  <c r="K36" i="1"/>
  <c r="L36" i="1"/>
  <c r="H37" i="1"/>
  <c r="I37" i="1" s="1"/>
  <c r="K37" i="1"/>
  <c r="L37" i="1"/>
  <c r="H38" i="1"/>
  <c r="I38" i="1" s="1"/>
  <c r="K38" i="1"/>
  <c r="L38" i="1"/>
  <c r="H39" i="1"/>
  <c r="I39" i="1" s="1"/>
  <c r="K39" i="1"/>
  <c r="L39" i="1"/>
  <c r="H40" i="1"/>
  <c r="I40" i="1" s="1"/>
  <c r="K40" i="1"/>
  <c r="L40" i="1"/>
  <c r="H41" i="1"/>
  <c r="I41" i="1" s="1"/>
  <c r="K41" i="1"/>
  <c r="L41" i="1"/>
  <c r="H42" i="1"/>
  <c r="I42" i="1" s="1"/>
  <c r="K42" i="1"/>
  <c r="L42" i="1"/>
  <c r="H43" i="1"/>
  <c r="I43" i="1" s="1"/>
  <c r="K43" i="1"/>
  <c r="L43" i="1"/>
  <c r="H44" i="1"/>
  <c r="I44" i="1" s="1"/>
  <c r="K44" i="1"/>
  <c r="L44" i="1"/>
  <c r="H45" i="1"/>
  <c r="I45" i="1" s="1"/>
  <c r="K45" i="1"/>
  <c r="L45" i="1"/>
  <c r="H46" i="1"/>
  <c r="I46" i="1" s="1"/>
  <c r="K46" i="1"/>
  <c r="L46" i="1"/>
  <c r="H47" i="1"/>
  <c r="I47" i="1" s="1"/>
  <c r="K47" i="1"/>
  <c r="L47" i="1"/>
  <c r="H48" i="1"/>
  <c r="I48" i="1" s="1"/>
  <c r="K48" i="1"/>
  <c r="L48" i="1"/>
  <c r="H49" i="1"/>
  <c r="I49" i="1" s="1"/>
  <c r="K49" i="1"/>
  <c r="L49" i="1"/>
  <c r="H50" i="1"/>
  <c r="I50" i="1" s="1"/>
  <c r="K50" i="1"/>
  <c r="L50" i="1"/>
  <c r="H51" i="1"/>
  <c r="I51" i="1" s="1"/>
  <c r="K51" i="1"/>
  <c r="L51" i="1"/>
  <c r="H52" i="1"/>
  <c r="I52" i="1" s="1"/>
  <c r="K52" i="1"/>
  <c r="L52" i="1"/>
  <c r="H53" i="1"/>
  <c r="I53" i="1" s="1"/>
  <c r="K53" i="1"/>
  <c r="L53" i="1"/>
  <c r="H54" i="1"/>
  <c r="I54" i="1" s="1"/>
  <c r="K54" i="1"/>
  <c r="L54" i="1"/>
  <c r="H55" i="1"/>
  <c r="I55" i="1" s="1"/>
  <c r="K55" i="1"/>
  <c r="L55" i="1"/>
  <c r="H56" i="1"/>
  <c r="I56" i="1" s="1"/>
  <c r="K56" i="1"/>
  <c r="L56" i="1"/>
  <c r="H57" i="1"/>
  <c r="I57" i="1" s="1"/>
  <c r="K57" i="1"/>
  <c r="L57" i="1"/>
  <c r="H58" i="1"/>
  <c r="I58" i="1" s="1"/>
  <c r="K58" i="1"/>
  <c r="L58" i="1"/>
  <c r="H59" i="1"/>
  <c r="I59" i="1" s="1"/>
  <c r="K59" i="1"/>
  <c r="L59" i="1"/>
  <c r="H60" i="1"/>
  <c r="I60" i="1" s="1"/>
  <c r="K60" i="1"/>
  <c r="L60" i="1"/>
  <c r="H61" i="1"/>
  <c r="I61" i="1" s="1"/>
  <c r="K61" i="1"/>
  <c r="L61" i="1"/>
  <c r="H62" i="1"/>
  <c r="I62" i="1" s="1"/>
  <c r="K62" i="1"/>
  <c r="L62" i="1"/>
  <c r="H63" i="1"/>
  <c r="I63" i="1" s="1"/>
  <c r="K63" i="1"/>
  <c r="L63" i="1"/>
  <c r="H64" i="1"/>
  <c r="I64" i="1" s="1"/>
  <c r="K64" i="1"/>
  <c r="L64" i="1"/>
  <c r="H65" i="1"/>
  <c r="I65" i="1" s="1"/>
  <c r="K65" i="1"/>
  <c r="L65" i="1"/>
  <c r="H66" i="1"/>
  <c r="I66" i="1" s="1"/>
  <c r="K66" i="1"/>
  <c r="L66" i="1"/>
  <c r="H67" i="1"/>
  <c r="I67" i="1" s="1"/>
  <c r="K67" i="1"/>
  <c r="L67" i="1"/>
  <c r="H68" i="1"/>
  <c r="I68" i="1" s="1"/>
  <c r="K68" i="1"/>
  <c r="L68" i="1"/>
  <c r="H69" i="1"/>
  <c r="I69" i="1" s="1"/>
  <c r="K69" i="1"/>
  <c r="L69" i="1"/>
  <c r="H70" i="1"/>
  <c r="I70" i="1" s="1"/>
  <c r="K70" i="1"/>
  <c r="L70" i="1"/>
  <c r="H71" i="1"/>
  <c r="I71" i="1" s="1"/>
  <c r="K71" i="1"/>
  <c r="L71" i="1"/>
  <c r="H72" i="1"/>
  <c r="I72" i="1" s="1"/>
  <c r="K72" i="1"/>
  <c r="L72" i="1"/>
  <c r="H73" i="1"/>
  <c r="I73" i="1" s="1"/>
  <c r="K73" i="1"/>
  <c r="L73" i="1"/>
  <c r="H74" i="1"/>
  <c r="I74" i="1" s="1"/>
  <c r="K74" i="1"/>
  <c r="L74" i="1"/>
  <c r="H75" i="1"/>
  <c r="I75" i="1" s="1"/>
  <c r="K75" i="1"/>
  <c r="L75" i="1"/>
  <c r="H76" i="1"/>
  <c r="I76" i="1" s="1"/>
  <c r="K76" i="1"/>
  <c r="L76" i="1"/>
  <c r="H77" i="1"/>
  <c r="I77" i="1" s="1"/>
  <c r="K77" i="1"/>
  <c r="L77" i="1"/>
  <c r="H78" i="1"/>
  <c r="I78" i="1" s="1"/>
  <c r="K78" i="1"/>
  <c r="L78" i="1"/>
  <c r="H79" i="1"/>
  <c r="I79" i="1" s="1"/>
  <c r="K79" i="1"/>
  <c r="L79" i="1"/>
  <c r="H80" i="1"/>
  <c r="I80" i="1" s="1"/>
  <c r="K80" i="1"/>
  <c r="L80" i="1"/>
  <c r="H81" i="1"/>
  <c r="I81" i="1" s="1"/>
  <c r="K81" i="1"/>
  <c r="L81" i="1"/>
  <c r="H82" i="1"/>
  <c r="I82" i="1" s="1"/>
  <c r="K82" i="1"/>
  <c r="L82" i="1"/>
  <c r="H83" i="1"/>
  <c r="I83" i="1" s="1"/>
  <c r="K83" i="1"/>
  <c r="L83" i="1"/>
  <c r="H84" i="1"/>
  <c r="I84" i="1" s="1"/>
  <c r="K84" i="1"/>
  <c r="L84" i="1"/>
  <c r="H85" i="1"/>
  <c r="I85" i="1" s="1"/>
  <c r="K85" i="1"/>
  <c r="L85" i="1"/>
  <c r="H86" i="1"/>
  <c r="I86" i="1" s="1"/>
  <c r="K86" i="1"/>
  <c r="L86" i="1"/>
  <c r="H87" i="1"/>
  <c r="I87" i="1" s="1"/>
  <c r="K87" i="1"/>
  <c r="L87" i="1"/>
  <c r="H88" i="1"/>
  <c r="I88" i="1" s="1"/>
  <c r="K88" i="1"/>
  <c r="L88" i="1"/>
  <c r="H89" i="1"/>
  <c r="I89" i="1" s="1"/>
  <c r="K89" i="1"/>
  <c r="L89" i="1"/>
  <c r="H90" i="1"/>
  <c r="I90" i="1" s="1"/>
  <c r="K90" i="1"/>
  <c r="L90" i="1"/>
  <c r="H91" i="1"/>
  <c r="I91" i="1" s="1"/>
  <c r="K91" i="1"/>
  <c r="L91" i="1"/>
  <c r="H92" i="1"/>
  <c r="I92" i="1" s="1"/>
  <c r="K92" i="1"/>
  <c r="L92" i="1"/>
  <c r="H93" i="1"/>
  <c r="I93" i="1" s="1"/>
  <c r="K93" i="1"/>
  <c r="L93" i="1"/>
  <c r="H94" i="1"/>
  <c r="I94" i="1" s="1"/>
  <c r="K94" i="1"/>
  <c r="L94" i="1"/>
  <c r="H95" i="1"/>
  <c r="I95" i="1" s="1"/>
  <c r="K95" i="1"/>
  <c r="L95" i="1"/>
  <c r="H96" i="1"/>
  <c r="I96" i="1" s="1"/>
  <c r="K96" i="1"/>
  <c r="L96" i="1"/>
  <c r="H97" i="1"/>
  <c r="I97" i="1" s="1"/>
  <c r="K97" i="1"/>
  <c r="L97" i="1"/>
  <c r="H98" i="1"/>
  <c r="I98" i="1" s="1"/>
  <c r="K98" i="1"/>
  <c r="L98" i="1"/>
  <c r="H99" i="1"/>
  <c r="I99" i="1" s="1"/>
  <c r="K99" i="1"/>
  <c r="L99" i="1"/>
  <c r="H100" i="1"/>
  <c r="I100" i="1" s="1"/>
  <c r="K100" i="1"/>
  <c r="L100" i="1"/>
  <c r="H101" i="1"/>
  <c r="I101" i="1" s="1"/>
  <c r="K101" i="1"/>
  <c r="L101" i="1"/>
  <c r="H102" i="1"/>
  <c r="I102" i="1" s="1"/>
  <c r="K102" i="1"/>
  <c r="L102" i="1"/>
  <c r="H103" i="1"/>
  <c r="I103" i="1" s="1"/>
  <c r="K103" i="1"/>
  <c r="L103" i="1"/>
  <c r="H104" i="1"/>
  <c r="I104" i="1" s="1"/>
  <c r="K104" i="1"/>
  <c r="L104" i="1"/>
  <c r="H105" i="1"/>
  <c r="I105" i="1" s="1"/>
  <c r="K105" i="1"/>
  <c r="L105" i="1"/>
  <c r="H106" i="1"/>
  <c r="I106" i="1" s="1"/>
  <c r="K106" i="1"/>
  <c r="L106" i="1"/>
  <c r="H107" i="1"/>
  <c r="I107" i="1" s="1"/>
  <c r="K107" i="1"/>
  <c r="L107" i="1"/>
  <c r="H108" i="1"/>
  <c r="I108" i="1" s="1"/>
  <c r="K108" i="1"/>
  <c r="L108" i="1"/>
  <c r="H109" i="1"/>
  <c r="I109" i="1" s="1"/>
  <c r="K109" i="1"/>
  <c r="L109" i="1"/>
  <c r="H110" i="1"/>
  <c r="I110" i="1" s="1"/>
  <c r="K110" i="1"/>
  <c r="L110" i="1"/>
  <c r="H111" i="1"/>
  <c r="I111" i="1" s="1"/>
  <c r="K111" i="1"/>
  <c r="L111" i="1"/>
  <c r="H112" i="1"/>
  <c r="I112" i="1" s="1"/>
  <c r="K112" i="1"/>
  <c r="L112" i="1"/>
  <c r="H113" i="1"/>
  <c r="I113" i="1" s="1"/>
  <c r="K113" i="1"/>
  <c r="L113" i="1"/>
  <c r="H114" i="1"/>
  <c r="I114" i="1" s="1"/>
  <c r="K114" i="1"/>
  <c r="L114" i="1"/>
  <c r="H115" i="1"/>
  <c r="I115" i="1" s="1"/>
  <c r="K115" i="1"/>
  <c r="L115" i="1"/>
  <c r="H116" i="1"/>
  <c r="I116" i="1" s="1"/>
  <c r="K116" i="1"/>
  <c r="L116" i="1"/>
  <c r="H117" i="1"/>
  <c r="I117" i="1" s="1"/>
  <c r="K117" i="1"/>
  <c r="L117" i="1"/>
  <c r="H118" i="1"/>
  <c r="I118" i="1" s="1"/>
  <c r="K118" i="1"/>
  <c r="L118" i="1"/>
  <c r="H119" i="1"/>
  <c r="I119" i="1" s="1"/>
  <c r="K119" i="1"/>
  <c r="L119" i="1"/>
  <c r="H120" i="1"/>
  <c r="I120" i="1" s="1"/>
  <c r="K120" i="1"/>
  <c r="L120" i="1"/>
  <c r="H121" i="1"/>
  <c r="I121" i="1" s="1"/>
  <c r="K121" i="1"/>
  <c r="L121" i="1"/>
  <c r="H122" i="1"/>
  <c r="I122" i="1" s="1"/>
  <c r="K122" i="1"/>
  <c r="L122" i="1"/>
  <c r="H123" i="1"/>
  <c r="I123" i="1" s="1"/>
  <c r="K123" i="1"/>
  <c r="L123" i="1"/>
  <c r="H124" i="1"/>
  <c r="I124" i="1" s="1"/>
  <c r="K124" i="1"/>
  <c r="L124" i="1"/>
  <c r="H125" i="1"/>
  <c r="I125" i="1" s="1"/>
  <c r="K125" i="1"/>
  <c r="L125" i="1"/>
  <c r="H126" i="1"/>
  <c r="I126" i="1" s="1"/>
  <c r="K126" i="1"/>
  <c r="L126" i="1"/>
  <c r="H127" i="1"/>
  <c r="I127" i="1" s="1"/>
  <c r="K127" i="1"/>
  <c r="L127" i="1"/>
  <c r="H128" i="1"/>
  <c r="I128" i="1" s="1"/>
  <c r="K128" i="1"/>
  <c r="L128" i="1"/>
  <c r="H129" i="1"/>
  <c r="I129" i="1" s="1"/>
  <c r="K129" i="1"/>
  <c r="L129" i="1"/>
  <c r="H130" i="1"/>
  <c r="I130" i="1" s="1"/>
  <c r="K130" i="1"/>
  <c r="L130" i="1"/>
  <c r="H131" i="1"/>
  <c r="I131" i="1" s="1"/>
  <c r="K131" i="1"/>
  <c r="L131" i="1"/>
  <c r="H132" i="1"/>
  <c r="I132" i="1" s="1"/>
  <c r="K132" i="1"/>
  <c r="L132" i="1"/>
  <c r="H133" i="1"/>
  <c r="I133" i="1" s="1"/>
  <c r="K133" i="1"/>
  <c r="L133" i="1"/>
  <c r="H134" i="1"/>
  <c r="I134" i="1" s="1"/>
  <c r="K134" i="1"/>
  <c r="L134" i="1"/>
  <c r="H135" i="1"/>
  <c r="I135" i="1" s="1"/>
  <c r="K135" i="1"/>
  <c r="L135" i="1"/>
  <c r="H136" i="1"/>
  <c r="I136" i="1" s="1"/>
  <c r="K136" i="1"/>
  <c r="L136" i="1"/>
  <c r="H137" i="1"/>
  <c r="I137" i="1" s="1"/>
  <c r="K137" i="1"/>
  <c r="L137" i="1"/>
  <c r="L2" i="1"/>
  <c r="K2" i="1"/>
  <c r="K10" i="4"/>
  <c r="L7" i="5"/>
  <c r="E16" i="2"/>
  <c r="F15" i="2"/>
  <c r="F14" i="2"/>
  <c r="F13" i="2"/>
  <c r="F12" i="2"/>
  <c r="F11" i="2"/>
  <c r="F10" i="2"/>
  <c r="F9" i="2"/>
  <c r="F8" i="2"/>
  <c r="F7" i="2"/>
  <c r="H6" i="2"/>
  <c r="F6" i="2"/>
  <c r="H2" i="1"/>
  <c r="I2" i="1" s="1"/>
  <c r="F16" i="4"/>
  <c r="F14" i="4"/>
  <c r="F15" i="4"/>
  <c r="F17" i="4" l="1"/>
  <c r="G17" i="4" s="1"/>
  <c r="F16" i="2"/>
  <c r="H7" i="2" s="1"/>
  <c r="H9" i="2" s="1"/>
  <c r="H10" i="2" s="1"/>
  <c r="G15" i="4" l="1"/>
  <c r="G14" i="4"/>
  <c r="G16" i="4"/>
  <c r="H8" i="2"/>
  <c r="H11" i="2"/>
  <c r="H13" i="2"/>
  <c r="H12" i="2"/>
</calcChain>
</file>

<file path=xl/sharedStrings.xml><?xml version="1.0" encoding="utf-8"?>
<sst xmlns="http://schemas.openxmlformats.org/spreadsheetml/2006/main" count="955" uniqueCount="78">
  <si>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</si>
  <si>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</si>
  <si>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</si>
  <si>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</si>
  <si>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</si>
  <si>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</si>
  <si>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</si>
  <si>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</si>
  <si>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</si>
  <si>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</si>
  <si>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</si>
  <si>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</si>
  <si>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</si>
  <si>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</si>
  <si>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</si>
  <si>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</si>
  <si>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</si>
  <si>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</si>
  <si>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</si>
  <si>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</si>
  <si>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</si>
  <si>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</si>
  <si>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</si>
  <si>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</si>
  <si>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</si>
  <si>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</si>
  <si>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</si>
  <si>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</si>
  <si>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</si>
  <si>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</si>
  <si>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</si>
  <si>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</si>
  <si>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</si>
  <si>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</si>
  <si>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</si>
  <si>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</si>
  <si>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</si>
  <si>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</si>
  <si>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</si>
  <si>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</si>
  <si>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</si>
  <si>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</si>
  <si>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</si>
  <si>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</si>
  <si>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</si>
  <si>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</si>
  <si>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</si>
  <si>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</si>
  <si>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</si>
  <si>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</si>
  <si>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</si>
  <si>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</si>
  <si>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Pino</t>
  </si>
  <si>
    <t>10 - 19.9</t>
  </si>
  <si>
    <t>20 - 29.9</t>
  </si>
  <si>
    <t>Aliso</t>
  </si>
  <si>
    <t>Alnus sp.</t>
  </si>
  <si>
    <t>Pinus sp.</t>
  </si>
  <si>
    <t>Pinabete</t>
  </si>
  <si>
    <t>Abies guatemalensis</t>
  </si>
  <si>
    <t>30 - 39.9</t>
  </si>
  <si>
    <t>50 - 59.9</t>
  </si>
  <si>
    <t>40 - 49.9</t>
  </si>
  <si>
    <t>area</t>
  </si>
  <si>
    <t>pino</t>
  </si>
  <si>
    <t>X</t>
  </si>
  <si>
    <t>Y</t>
  </si>
  <si>
    <t>Fecha de recolección</t>
  </si>
  <si>
    <t>AREA PARCELAS (HA)</t>
  </si>
  <si>
    <t>Etiquetas de fila</t>
  </si>
  <si>
    <t>Propietaria</t>
  </si>
  <si>
    <t>Adelina Loarca</t>
  </si>
  <si>
    <t>BASE_DATOS</t>
  </si>
  <si>
    <t>AREA_SITIO_HA</t>
  </si>
  <si>
    <t>AÑO</t>
  </si>
  <si>
    <t>MUNICIPIO</t>
  </si>
  <si>
    <t>DEPTO</t>
  </si>
  <si>
    <t>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</si>
</sst>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2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2" fontId="0" fillId="5" borderId="3" xfId="0" applyNumberForma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wrapText="1"/>
    </xf>
    <xf numFmtId="2" fontId="2" fillId="5" borderId="0" xfId="0" applyNumberFormat="1" applyFont="1" applyFill="1" applyBorder="1" applyAlignment="1">
      <alignment horizontal="center" wrapText="1"/>
    </xf>
    <xf numFmtId="0" fontId="0" fillId="0" borderId="0" xfId="0" applyBorder="1"/>
    <xf numFmtId="0" fontId="2" fillId="0" borderId="0" xfId="0" applyFont="1" applyAlignment="1">
      <alignment horizontal="center"/>
    </xf>
    <xf numFmtId="17" fontId="0" fillId="0" borderId="0" xfId="0" applyNumberFormat="1"/>
    <xf numFmtId="0" fontId="7" fillId="9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39"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801.744201273148" createdVersion="3" refreshedVersion="3" minRefreshableVersion="3" recordCount="136">
  <cacheSource type="worksheet">
    <worksheetSource ref="A1:L137" sheet="base de datos"/>
  </cacheSource>
  <cacheFields count="12">
    <cacheField name="Parcela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o. Arbol" numFmtId="0">
      <sharedItems containsSemiMixedTypes="0" containsString="0" containsNumber="1" containsInteger="1" minValue="1" maxValue="28"/>
    </cacheField>
    <cacheField name="Nombre común" numFmtId="0">
      <sharedItems count="3">
        <s v="Pino"/>
        <s v="Aliso"/>
        <s v="Pinabete"/>
      </sharedItems>
    </cacheField>
    <cacheField name="Especie" numFmtId="0">
      <sharedItems count="3">
        <s v="Pinus sp."/>
        <s v="Alnus sp."/>
        <s v="Abies guatemalensis"/>
      </sharedItems>
    </cacheField>
    <cacheField name="Clase diámetrica" numFmtId="0">
      <sharedItems count="6">
        <s v="10 - 19.9"/>
        <s v="50 - 59.9"/>
        <s v="40 - 49.9"/>
        <s v="20 - 29.9"/>
        <s v="30 - 39.9"/>
        <s v="10-19.99" u="1"/>
      </sharedItems>
    </cacheField>
    <cacheField name="DAP (cm)" numFmtId="0">
      <sharedItems containsSemiMixedTypes="0" containsString="0" containsNumber="1" containsInteger="1" minValue="10" maxValue="55"/>
    </cacheField>
    <cacheField name="Altura (m)" numFmtId="0">
      <sharedItems containsSemiMixedTypes="0" containsString="0" containsNumber="1" containsInteger="1" minValue="4" maxValue="20"/>
    </cacheField>
    <cacheField name="Area Basal (m2)" numFmtId="2">
      <sharedItems containsSemiMixedTypes="0" containsString="0" containsNumber="1" minValue="7.8540000000000016E-3" maxValue="0.23758350000000003"/>
    </cacheField>
    <cacheField name="AB/Ha." numFmtId="2">
      <sharedItems containsSemiMixedTypes="0" containsString="0" containsNumber="1" minValue="2.6180000000000005E-2" maxValue="0.79194500000000012"/>
    </cacheField>
    <cacheField name="Volumen (m3)" numFmtId="2">
      <sharedItems containsSemiMixedTypes="0" containsString="0" containsNumber="1" minValue="1.645019768E-2" maxValue="1.9540644431999998"/>
    </cacheField>
    <cacheField name="Volumen/Ha." numFmtId="2">
      <sharedItems containsSemiMixedTypes="0" containsString="0" containsNumber="1" minValue="5.4833992266666673E-2" maxValue="6.5135481439999996"/>
    </cacheField>
    <cacheField name="Densidad/Ha." numFmtId="2">
      <sharedItems containsSemiMixedTypes="0" containsString="0" containsNumber="1" minValue="3.3333333333333335" maxValue="3.3333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1"/>
    <x v="0"/>
    <x v="0"/>
    <x v="0"/>
    <n v="15"/>
    <n v="6"/>
    <n v="1.76715E-2"/>
    <n v="5.8904999999999999E-2"/>
    <n v="4.3625137679999995E-2"/>
    <n v="0.1454171256"/>
    <n v="3.3333333333333335"/>
  </r>
  <r>
    <x v="0"/>
    <n v="2"/>
    <x v="0"/>
    <x v="0"/>
    <x v="0"/>
    <n v="17"/>
    <n v="7"/>
    <n v="2.2698060000000003E-2"/>
    <n v="7.5660200000000011E-2"/>
    <n v="6.2876437280000003E-2"/>
    <n v="0.20958812426666668"/>
    <n v="3.3333333333333335"/>
  </r>
  <r>
    <x v="0"/>
    <n v="3"/>
    <x v="0"/>
    <x v="0"/>
    <x v="0"/>
    <n v="15"/>
    <n v="7"/>
    <n v="1.76715E-2"/>
    <n v="5.8904999999999999E-2"/>
    <n v="5.006130768E-2"/>
    <n v="0.1668710256"/>
    <n v="3.3333333333333335"/>
  </r>
  <r>
    <x v="0"/>
    <n v="4"/>
    <x v="0"/>
    <x v="0"/>
    <x v="0"/>
    <n v="13"/>
    <n v="6"/>
    <n v="1.3273260000000002E-2"/>
    <n v="4.4244200000000011E-2"/>
    <n v="3.401379048E-2"/>
    <n v="0.11337930160000001"/>
    <n v="3.3333333333333335"/>
  </r>
  <r>
    <x v="0"/>
    <n v="5"/>
    <x v="0"/>
    <x v="0"/>
    <x v="0"/>
    <n v="14"/>
    <n v="7"/>
    <n v="1.5393840000000002E-2"/>
    <n v="5.1312800000000013E-2"/>
    <n v="4.4254452079999999E-2"/>
    <n v="0.14751484026666667"/>
    <n v="3.3333333333333335"/>
  </r>
  <r>
    <x v="0"/>
    <n v="6"/>
    <x v="0"/>
    <x v="0"/>
    <x v="0"/>
    <n v="10"/>
    <n v="5"/>
    <n v="7.8540000000000016E-3"/>
    <n v="2.6180000000000005E-2"/>
    <n v="1.9310717679999999E-2"/>
    <n v="6.4369058933333334E-2"/>
    <n v="3.3333333333333335"/>
  </r>
  <r>
    <x v="0"/>
    <n v="7"/>
    <x v="0"/>
    <x v="0"/>
    <x v="0"/>
    <n v="16"/>
    <n v="7"/>
    <n v="2.0106240000000001E-2"/>
    <n v="6.7020800000000005E-2"/>
    <n v="5.6268636079999997E-2"/>
    <n v="0.18756212026666666"/>
    <n v="3.3333333333333335"/>
  </r>
  <r>
    <x v="0"/>
    <n v="8"/>
    <x v="0"/>
    <x v="0"/>
    <x v="0"/>
    <n v="10"/>
    <n v="5"/>
    <n v="7.8540000000000016E-3"/>
    <n v="2.6180000000000005E-2"/>
    <n v="1.9310717679999999E-2"/>
    <n v="6.4369058933333334E-2"/>
    <n v="3.3333333333333335"/>
  </r>
  <r>
    <x v="0"/>
    <n v="9"/>
    <x v="1"/>
    <x v="1"/>
    <x v="0"/>
    <n v="12"/>
    <n v="4"/>
    <n v="1.130976E-2"/>
    <n v="3.7699200000000002E-2"/>
    <n v="0.13512068999999999"/>
    <n v="0.45040229999999998"/>
    <n v="3.3333333333333335"/>
  </r>
  <r>
    <x v="0"/>
    <n v="10"/>
    <x v="0"/>
    <x v="0"/>
    <x v="0"/>
    <n v="11"/>
    <n v="5"/>
    <n v="9.503339999999999E-3"/>
    <n v="3.1677799999999999E-2"/>
    <n v="2.2314263679999998E-2"/>
    <n v="7.4380878933333325E-2"/>
    <n v="3.3333333333333335"/>
  </r>
  <r>
    <x v="0"/>
    <n v="11"/>
    <x v="0"/>
    <x v="0"/>
    <x v="0"/>
    <n v="12"/>
    <n v="6"/>
    <n v="1.130976E-2"/>
    <n v="3.7699200000000002E-2"/>
    <n v="2.9723010479999999E-2"/>
    <n v="9.9076701599999997E-2"/>
    <n v="3.3333333333333335"/>
  </r>
  <r>
    <x v="0"/>
    <n v="12"/>
    <x v="0"/>
    <x v="0"/>
    <x v="0"/>
    <n v="10"/>
    <n v="6"/>
    <n v="7.8540000000000016E-3"/>
    <n v="2.6180000000000005E-2"/>
    <n v="2.2171237680000001E-2"/>
    <n v="7.3904125600000009E-2"/>
    <n v="3.3333333333333335"/>
  </r>
  <r>
    <x v="0"/>
    <n v="13"/>
    <x v="0"/>
    <x v="0"/>
    <x v="0"/>
    <n v="13"/>
    <n v="7"/>
    <n v="1.3273260000000002E-2"/>
    <n v="4.4244200000000011E-2"/>
    <n v="3.8848069280000001E-2"/>
    <n v="0.12949356426666667"/>
    <n v="3.3333333333333335"/>
  </r>
  <r>
    <x v="0"/>
    <n v="14"/>
    <x v="0"/>
    <x v="0"/>
    <x v="0"/>
    <n v="10"/>
    <n v="4"/>
    <n v="7.8540000000000016E-3"/>
    <n v="2.6180000000000005E-2"/>
    <n v="1.645019768E-2"/>
    <n v="5.4833992266666673E-2"/>
    <n v="3.3333333333333335"/>
  </r>
  <r>
    <x v="0"/>
    <n v="15"/>
    <x v="0"/>
    <x v="0"/>
    <x v="0"/>
    <n v="12"/>
    <n v="7"/>
    <n v="1.130976E-2"/>
    <n v="3.7699200000000002E-2"/>
    <n v="3.3842159279999999E-2"/>
    <n v="0.11280719760000001"/>
    <n v="3.3333333333333335"/>
  </r>
  <r>
    <x v="0"/>
    <n v="16"/>
    <x v="0"/>
    <x v="0"/>
    <x v="0"/>
    <n v="12"/>
    <n v="6"/>
    <n v="1.130976E-2"/>
    <n v="3.7699200000000002E-2"/>
    <n v="2.9723010479999999E-2"/>
    <n v="9.9076701599999997E-2"/>
    <n v="3.3333333333333335"/>
  </r>
  <r>
    <x v="0"/>
    <n v="17"/>
    <x v="0"/>
    <x v="0"/>
    <x v="0"/>
    <n v="14"/>
    <n v="7"/>
    <n v="1.5393840000000002E-2"/>
    <n v="5.1312800000000013E-2"/>
    <n v="4.4254452079999999E-2"/>
    <n v="0.14751484026666667"/>
    <n v="3.3333333333333335"/>
  </r>
  <r>
    <x v="0"/>
    <n v="18"/>
    <x v="0"/>
    <x v="0"/>
    <x v="0"/>
    <n v="11"/>
    <n v="5"/>
    <n v="9.503339999999999E-3"/>
    <n v="3.1677799999999999E-2"/>
    <n v="2.2314263679999998E-2"/>
    <n v="7.4380878933333325E-2"/>
    <n v="3.3333333333333335"/>
  </r>
  <r>
    <x v="0"/>
    <n v="19"/>
    <x v="0"/>
    <x v="0"/>
    <x v="0"/>
    <n v="16"/>
    <n v="8"/>
    <n v="2.0106240000000001E-2"/>
    <n v="6.7020800000000005E-2"/>
    <n v="6.3591567279999997E-2"/>
    <n v="0.21197189093333332"/>
    <n v="3.3333333333333335"/>
  </r>
  <r>
    <x v="0"/>
    <n v="20"/>
    <x v="0"/>
    <x v="0"/>
    <x v="0"/>
    <n v="10"/>
    <n v="5"/>
    <n v="7.8540000000000016E-3"/>
    <n v="2.6180000000000005E-2"/>
    <n v="1.9310717679999999E-2"/>
    <n v="6.4369058933333334E-2"/>
    <n v="3.3333333333333335"/>
  </r>
  <r>
    <x v="0"/>
    <n v="21"/>
    <x v="0"/>
    <x v="0"/>
    <x v="0"/>
    <n v="13"/>
    <n v="7"/>
    <n v="1.3273260000000002E-2"/>
    <n v="4.4244200000000011E-2"/>
    <n v="3.8848069280000001E-2"/>
    <n v="0.12949356426666667"/>
    <n v="3.3333333333333335"/>
  </r>
  <r>
    <x v="0"/>
    <n v="22"/>
    <x v="0"/>
    <x v="0"/>
    <x v="0"/>
    <n v="18"/>
    <n v="8"/>
    <n v="2.5446959999999998E-2"/>
    <n v="8.4823200000000001E-2"/>
    <n v="7.9152796080000004E-2"/>
    <n v="0.26384265360000003"/>
    <n v="3.3333333333333335"/>
  </r>
  <r>
    <x v="0"/>
    <n v="23"/>
    <x v="0"/>
    <x v="0"/>
    <x v="0"/>
    <n v="15"/>
    <n v="7"/>
    <n v="1.76715E-2"/>
    <n v="5.8904999999999999E-2"/>
    <n v="5.006130768E-2"/>
    <n v="0.1668710256"/>
    <n v="3.3333333333333335"/>
  </r>
  <r>
    <x v="0"/>
    <n v="24"/>
    <x v="0"/>
    <x v="0"/>
    <x v="0"/>
    <n v="17"/>
    <n v="8"/>
    <n v="2.2698060000000003E-2"/>
    <n v="7.5660200000000011E-2"/>
    <n v="7.1143340080000006E-2"/>
    <n v="0.23714446693333335"/>
    <n v="3.3333333333333335"/>
  </r>
  <r>
    <x v="0"/>
    <n v="25"/>
    <x v="0"/>
    <x v="0"/>
    <x v="0"/>
    <n v="13"/>
    <n v="6"/>
    <n v="1.3273260000000002E-2"/>
    <n v="4.4244200000000011E-2"/>
    <n v="3.401379048E-2"/>
    <n v="0.11337930160000001"/>
    <n v="3.3333333333333335"/>
  </r>
  <r>
    <x v="0"/>
    <n v="26"/>
    <x v="0"/>
    <x v="0"/>
    <x v="0"/>
    <n v="10"/>
    <n v="5"/>
    <n v="7.8540000000000016E-3"/>
    <n v="2.6180000000000005E-2"/>
    <n v="1.9310717679999999E-2"/>
    <n v="6.4369058933333334E-2"/>
    <n v="3.3333333333333335"/>
  </r>
  <r>
    <x v="0"/>
    <n v="27"/>
    <x v="0"/>
    <x v="0"/>
    <x v="0"/>
    <n v="18"/>
    <n v="9"/>
    <n v="2.5446959999999998E-2"/>
    <n v="8.4823200000000001E-2"/>
    <n v="8.8420880879999997E-2"/>
    <n v="0.29473626959999999"/>
    <n v="3.3333333333333335"/>
  </r>
  <r>
    <x v="0"/>
    <n v="28"/>
    <x v="2"/>
    <x v="2"/>
    <x v="1"/>
    <n v="55"/>
    <n v="18"/>
    <n v="0.23758350000000003"/>
    <n v="0.79194500000000012"/>
    <n v="1.9540644431999998"/>
    <n v="6.5135481439999996"/>
    <n v="3.3333333333333335"/>
  </r>
  <r>
    <x v="1"/>
    <n v="1"/>
    <x v="0"/>
    <x v="0"/>
    <x v="0"/>
    <n v="12"/>
    <n v="5"/>
    <n v="1.130976E-2"/>
    <n v="3.7699200000000002E-2"/>
    <n v="2.5603861679999999E-2"/>
    <n v="8.5346205600000002E-2"/>
    <n v="3.3333333333333335"/>
  </r>
  <r>
    <x v="1"/>
    <n v="2"/>
    <x v="0"/>
    <x v="0"/>
    <x v="0"/>
    <n v="17"/>
    <n v="7"/>
    <n v="2.2698060000000003E-2"/>
    <n v="7.5660200000000011E-2"/>
    <n v="6.2876437280000003E-2"/>
    <n v="0.20958812426666668"/>
    <n v="3.3333333333333335"/>
  </r>
  <r>
    <x v="1"/>
    <n v="3"/>
    <x v="0"/>
    <x v="0"/>
    <x v="0"/>
    <n v="19"/>
    <n v="8"/>
    <n v="2.835294E-2"/>
    <n v="9.4509800000000005E-2"/>
    <n v="8.7619935280000005E-2"/>
    <n v="0.29206645093333339"/>
    <n v="3.3333333333333335"/>
  </r>
  <r>
    <x v="1"/>
    <n v="4"/>
    <x v="0"/>
    <x v="0"/>
    <x v="0"/>
    <n v="10"/>
    <n v="5"/>
    <n v="7.8540000000000016E-3"/>
    <n v="2.6180000000000005E-2"/>
    <n v="1.9310717679999999E-2"/>
    <n v="6.4369058933333334E-2"/>
    <n v="3.3333333333333335"/>
  </r>
  <r>
    <x v="1"/>
    <n v="5"/>
    <x v="0"/>
    <x v="0"/>
    <x v="0"/>
    <n v="16"/>
    <n v="7"/>
    <n v="2.0106240000000001E-2"/>
    <n v="6.7020800000000005E-2"/>
    <n v="5.6268636079999997E-2"/>
    <n v="0.18756212026666666"/>
    <n v="3.3333333333333335"/>
  </r>
  <r>
    <x v="1"/>
    <n v="6"/>
    <x v="0"/>
    <x v="0"/>
    <x v="0"/>
    <n v="14"/>
    <n v="6"/>
    <n v="1.5393840000000002E-2"/>
    <n v="5.1312800000000013E-2"/>
    <n v="3.8647832879999997E-2"/>
    <n v="0.12882610959999999"/>
    <n v="3.3333333333333335"/>
  </r>
  <r>
    <x v="1"/>
    <n v="7"/>
    <x v="0"/>
    <x v="0"/>
    <x v="0"/>
    <n v="12"/>
    <n v="6"/>
    <n v="1.130976E-2"/>
    <n v="3.7699200000000002E-2"/>
    <n v="2.9723010479999999E-2"/>
    <n v="9.9076701599999997E-2"/>
    <n v="3.3333333333333335"/>
  </r>
  <r>
    <x v="1"/>
    <n v="8"/>
    <x v="2"/>
    <x v="2"/>
    <x v="2"/>
    <n v="44"/>
    <n v="15"/>
    <n v="0.15205343999999998"/>
    <n v="0.50684479999999998"/>
    <n v="1.0624250021999999"/>
    <n v="3.5414166739999997"/>
    <n v="3.3333333333333335"/>
  </r>
  <r>
    <x v="1"/>
    <n v="9"/>
    <x v="2"/>
    <x v="2"/>
    <x v="2"/>
    <n v="42"/>
    <n v="15"/>
    <n v="0.13854455999999998"/>
    <n v="0.46181519999999998"/>
    <n v="0.97189254419999993"/>
    <n v="3.2396418140000001"/>
    <n v="3.3333333333333335"/>
  </r>
  <r>
    <x v="1"/>
    <n v="10"/>
    <x v="0"/>
    <x v="0"/>
    <x v="0"/>
    <n v="14"/>
    <n v="7"/>
    <n v="1.5393840000000002E-2"/>
    <n v="5.1312800000000013E-2"/>
    <n v="4.4254452079999999E-2"/>
    <n v="0.14751484026666667"/>
    <n v="3.3333333333333335"/>
  </r>
  <r>
    <x v="1"/>
    <n v="11"/>
    <x v="2"/>
    <x v="2"/>
    <x v="0"/>
    <n v="15"/>
    <n v="8"/>
    <n v="1.76715E-2"/>
    <n v="5.8904999999999999E-2"/>
    <n v="0.10657067819999999"/>
    <n v="0.35523559399999999"/>
    <n v="3.3333333333333335"/>
  </r>
  <r>
    <x v="1"/>
    <n v="12"/>
    <x v="0"/>
    <x v="0"/>
    <x v="0"/>
    <n v="17"/>
    <n v="8"/>
    <n v="2.2698060000000003E-2"/>
    <n v="7.5660200000000011E-2"/>
    <n v="7.1143340080000006E-2"/>
    <n v="0.23714446693333335"/>
    <n v="3.3333333333333335"/>
  </r>
  <r>
    <x v="1"/>
    <n v="13"/>
    <x v="0"/>
    <x v="0"/>
    <x v="0"/>
    <n v="12"/>
    <n v="5"/>
    <n v="1.130976E-2"/>
    <n v="3.7699200000000002E-2"/>
    <n v="2.5603861679999999E-2"/>
    <n v="8.5346205600000002E-2"/>
    <n v="3.3333333333333335"/>
  </r>
  <r>
    <x v="1"/>
    <n v="14"/>
    <x v="0"/>
    <x v="0"/>
    <x v="3"/>
    <n v="20"/>
    <n v="10"/>
    <n v="3.1416000000000006E-2"/>
    <n v="0.10472000000000002"/>
    <n v="0.11942891768"/>
    <n v="0.39809639226666665"/>
    <n v="3.3333333333333335"/>
  </r>
  <r>
    <x v="1"/>
    <n v="15"/>
    <x v="2"/>
    <x v="2"/>
    <x v="0"/>
    <n v="12"/>
    <n v="6"/>
    <n v="1.130976E-2"/>
    <n v="3.7699200000000002E-2"/>
    <n v="7.3726344599999993E-2"/>
    <n v="0.245754482"/>
    <n v="3.3333333333333335"/>
  </r>
  <r>
    <x v="1"/>
    <n v="16"/>
    <x v="0"/>
    <x v="0"/>
    <x v="0"/>
    <n v="17"/>
    <n v="8"/>
    <n v="2.2698060000000003E-2"/>
    <n v="7.5660200000000011E-2"/>
    <n v="7.1143340080000006E-2"/>
    <n v="0.23714446693333335"/>
    <n v="3.3333333333333335"/>
  </r>
  <r>
    <x v="1"/>
    <n v="17"/>
    <x v="0"/>
    <x v="0"/>
    <x v="0"/>
    <n v="14"/>
    <n v="8"/>
    <n v="1.5393840000000002E-2"/>
    <n v="5.1312800000000013E-2"/>
    <n v="4.9861071279999995E-2"/>
    <n v="0.16620357093333332"/>
    <n v="3.3333333333333335"/>
  </r>
  <r>
    <x v="1"/>
    <n v="18"/>
    <x v="0"/>
    <x v="0"/>
    <x v="0"/>
    <n v="14"/>
    <n v="7"/>
    <n v="1.5393840000000002E-2"/>
    <n v="5.1312800000000013E-2"/>
    <n v="4.4254452079999999E-2"/>
    <n v="0.14751484026666667"/>
    <n v="3.3333333333333335"/>
  </r>
  <r>
    <x v="2"/>
    <n v="1"/>
    <x v="2"/>
    <x v="2"/>
    <x v="0"/>
    <n v="12"/>
    <n v="5"/>
    <n v="1.130976E-2"/>
    <n v="3.7699200000000002E-2"/>
    <n v="6.86733702E-2"/>
    <n v="0.22891123400000002"/>
    <n v="3.3333333333333335"/>
  </r>
  <r>
    <x v="2"/>
    <n v="2"/>
    <x v="2"/>
    <x v="2"/>
    <x v="0"/>
    <n v="10"/>
    <n v="5"/>
    <n v="7.8540000000000016E-3"/>
    <n v="2.6180000000000005E-2"/>
    <n v="6.0953548199999999E-2"/>
    <n v="0.20317849400000002"/>
    <n v="3.3333333333333335"/>
  </r>
  <r>
    <x v="2"/>
    <n v="3"/>
    <x v="0"/>
    <x v="0"/>
    <x v="0"/>
    <n v="12"/>
    <n v="7"/>
    <n v="1.130976E-2"/>
    <n v="3.7699200000000002E-2"/>
    <n v="3.3842159279999999E-2"/>
    <n v="0.11280719760000001"/>
    <n v="3.3333333333333335"/>
  </r>
  <r>
    <x v="2"/>
    <n v="4"/>
    <x v="0"/>
    <x v="0"/>
    <x v="0"/>
    <n v="10"/>
    <n v="7"/>
    <n v="7.8540000000000016E-3"/>
    <n v="2.6180000000000005E-2"/>
    <n v="2.5031757679999999E-2"/>
    <n v="8.343919226666667E-2"/>
    <n v="3.3333333333333335"/>
  </r>
  <r>
    <x v="2"/>
    <n v="5"/>
    <x v="0"/>
    <x v="0"/>
    <x v="0"/>
    <n v="12"/>
    <n v="6"/>
    <n v="1.130976E-2"/>
    <n v="3.7699200000000002E-2"/>
    <n v="2.9723010479999999E-2"/>
    <n v="9.9076701599999997E-2"/>
    <n v="3.3333333333333335"/>
  </r>
  <r>
    <x v="2"/>
    <n v="6"/>
    <x v="0"/>
    <x v="0"/>
    <x v="0"/>
    <n v="16"/>
    <n v="7"/>
    <n v="2.0106240000000001E-2"/>
    <n v="6.7020800000000005E-2"/>
    <n v="5.6268636079999997E-2"/>
    <n v="0.18756212026666666"/>
    <n v="3.3333333333333335"/>
  </r>
  <r>
    <x v="2"/>
    <n v="7"/>
    <x v="1"/>
    <x v="1"/>
    <x v="4"/>
    <n v="35"/>
    <n v="10"/>
    <n v="9.6211499999999991E-2"/>
    <n v="0.32070499999999996"/>
    <n v="0.35542181767999997"/>
    <n v="1.1847393922666667"/>
    <n v="3.3333333333333335"/>
  </r>
  <r>
    <x v="2"/>
    <n v="8"/>
    <x v="0"/>
    <x v="0"/>
    <x v="0"/>
    <n v="14"/>
    <n v="8"/>
    <n v="1.5393840000000002E-2"/>
    <n v="5.1312800000000013E-2"/>
    <n v="4.9861071279999995E-2"/>
    <n v="0.16620357093333332"/>
    <n v="3.3333333333333335"/>
  </r>
  <r>
    <x v="2"/>
    <n v="9"/>
    <x v="0"/>
    <x v="0"/>
    <x v="0"/>
    <n v="15"/>
    <n v="8"/>
    <n v="1.76715E-2"/>
    <n v="5.8904999999999999E-2"/>
    <n v="5.6497477679999998E-2"/>
    <n v="0.1883249256"/>
    <n v="3.3333333333333335"/>
  </r>
  <r>
    <x v="2"/>
    <n v="10"/>
    <x v="0"/>
    <x v="0"/>
    <x v="0"/>
    <n v="10"/>
    <n v="6"/>
    <n v="7.8540000000000016E-3"/>
    <n v="2.6180000000000005E-2"/>
    <n v="2.2171237680000001E-2"/>
    <n v="7.3904125600000009E-2"/>
    <n v="3.3333333333333335"/>
  </r>
  <r>
    <x v="2"/>
    <n v="11"/>
    <x v="1"/>
    <x v="1"/>
    <x v="3"/>
    <n v="28"/>
    <n v="10"/>
    <n v="6.157536000000001E-2"/>
    <n v="0.20525120000000005"/>
    <n v="0.22927288567999998"/>
    <n v="0.76424295226666661"/>
    <n v="3.3333333333333335"/>
  </r>
  <r>
    <x v="2"/>
    <n v="12"/>
    <x v="0"/>
    <x v="0"/>
    <x v="0"/>
    <n v="12"/>
    <n v="6"/>
    <n v="1.130976E-2"/>
    <n v="3.7699200000000002E-2"/>
    <n v="2.9723010479999999E-2"/>
    <n v="9.9076701599999997E-2"/>
    <n v="3.3333333333333335"/>
  </r>
  <r>
    <x v="2"/>
    <n v="13"/>
    <x v="0"/>
    <x v="0"/>
    <x v="0"/>
    <n v="14"/>
    <n v="7"/>
    <n v="1.5393840000000002E-2"/>
    <n v="5.1312800000000013E-2"/>
    <n v="4.4254452079999999E-2"/>
    <n v="0.14751484026666667"/>
    <n v="3.3333333333333335"/>
  </r>
  <r>
    <x v="2"/>
    <n v="14"/>
    <x v="0"/>
    <x v="0"/>
    <x v="0"/>
    <n v="12"/>
    <n v="6"/>
    <n v="1.130976E-2"/>
    <n v="3.7699200000000002E-2"/>
    <n v="2.9723010479999999E-2"/>
    <n v="9.9076701599999997E-2"/>
    <n v="3.3333333333333335"/>
  </r>
  <r>
    <x v="2"/>
    <n v="15"/>
    <x v="0"/>
    <x v="0"/>
    <x v="0"/>
    <n v="13"/>
    <n v="7"/>
    <n v="1.3273260000000002E-2"/>
    <n v="4.4244200000000011E-2"/>
    <n v="3.8848069280000001E-2"/>
    <n v="0.12949356426666667"/>
    <n v="3.3333333333333335"/>
  </r>
  <r>
    <x v="2"/>
    <n v="16"/>
    <x v="0"/>
    <x v="0"/>
    <x v="0"/>
    <n v="14"/>
    <n v="7"/>
    <n v="1.5393840000000002E-2"/>
    <n v="5.1312800000000013E-2"/>
    <n v="4.4254452079999999E-2"/>
    <n v="0.14751484026666667"/>
    <n v="3.3333333333333335"/>
  </r>
  <r>
    <x v="2"/>
    <n v="17"/>
    <x v="0"/>
    <x v="0"/>
    <x v="0"/>
    <n v="16"/>
    <n v="8"/>
    <n v="2.0106240000000001E-2"/>
    <n v="6.7020800000000005E-2"/>
    <n v="6.3591567279999997E-2"/>
    <n v="0.21197189093333332"/>
    <n v="3.3333333333333335"/>
  </r>
  <r>
    <x v="2"/>
    <n v="18"/>
    <x v="0"/>
    <x v="0"/>
    <x v="3"/>
    <n v="20"/>
    <n v="9"/>
    <n v="3.1416000000000006E-2"/>
    <n v="0.10472000000000002"/>
    <n v="0.10798683768"/>
    <n v="0.35995612560000001"/>
    <n v="3.3333333333333335"/>
  </r>
  <r>
    <x v="2"/>
    <n v="19"/>
    <x v="0"/>
    <x v="0"/>
    <x v="0"/>
    <n v="19"/>
    <n v="8"/>
    <n v="2.835294E-2"/>
    <n v="9.4509800000000005E-2"/>
    <n v="8.7619935280000005E-2"/>
    <n v="0.29206645093333339"/>
    <n v="3.3333333333333335"/>
  </r>
  <r>
    <x v="2"/>
    <n v="20"/>
    <x v="0"/>
    <x v="0"/>
    <x v="3"/>
    <n v="21"/>
    <n v="10"/>
    <n v="3.4636139999999996E-2"/>
    <n v="0.1154538"/>
    <n v="0.13115704968"/>
    <n v="0.43719016560000001"/>
    <n v="3.3333333333333335"/>
  </r>
  <r>
    <x v="2"/>
    <n v="21"/>
    <x v="2"/>
    <x v="2"/>
    <x v="0"/>
    <n v="13"/>
    <n v="7"/>
    <n v="1.3273260000000002E-2"/>
    <n v="4.4244200000000011E-2"/>
    <n v="8.4920086499999992E-2"/>
    <n v="0.28306695500000001"/>
    <n v="3.3333333333333335"/>
  </r>
  <r>
    <x v="2"/>
    <n v="22"/>
    <x v="2"/>
    <x v="2"/>
    <x v="0"/>
    <n v="15"/>
    <n v="6"/>
    <n v="1.76715E-2"/>
    <n v="5.8904999999999999E-2"/>
    <n v="9.0780133200000002E-2"/>
    <n v="0.30260044400000002"/>
    <n v="3.3333333333333335"/>
  </r>
  <r>
    <x v="3"/>
    <n v="1"/>
    <x v="2"/>
    <x v="2"/>
    <x v="2"/>
    <n v="42"/>
    <n v="19"/>
    <n v="0.13854455999999998"/>
    <n v="0.46181519999999998"/>
    <n v="1.2194882897999999"/>
    <n v="4.0649609660000001"/>
    <n v="3.3333333333333335"/>
  </r>
  <r>
    <x v="3"/>
    <n v="2"/>
    <x v="0"/>
    <x v="0"/>
    <x v="0"/>
    <n v="18"/>
    <n v="8"/>
    <n v="2.5446959999999998E-2"/>
    <n v="8.4823200000000001E-2"/>
    <n v="7.9152796080000004E-2"/>
    <n v="0.26384265360000003"/>
    <n v="3.3333333333333335"/>
  </r>
  <r>
    <x v="3"/>
    <n v="3"/>
    <x v="0"/>
    <x v="0"/>
    <x v="3"/>
    <n v="20"/>
    <n v="8"/>
    <n v="3.1416000000000006E-2"/>
    <n v="0.10472000000000002"/>
    <n v="9.6544757679999982E-2"/>
    <n v="0.32181585893333331"/>
    <n v="3.3333333333333335"/>
  </r>
  <r>
    <x v="3"/>
    <n v="4"/>
    <x v="0"/>
    <x v="0"/>
    <x v="0"/>
    <n v="19"/>
    <n v="8"/>
    <n v="2.835294E-2"/>
    <n v="9.4509800000000005E-2"/>
    <n v="8.7619935280000005E-2"/>
    <n v="0.29206645093333339"/>
    <n v="3.3333333333333335"/>
  </r>
  <r>
    <x v="3"/>
    <n v="5"/>
    <x v="0"/>
    <x v="0"/>
    <x v="0"/>
    <n v="18"/>
    <n v="8"/>
    <n v="2.5446959999999998E-2"/>
    <n v="8.4823200000000001E-2"/>
    <n v="7.9152796080000004E-2"/>
    <n v="0.26384265360000003"/>
    <n v="3.3333333333333335"/>
  </r>
  <r>
    <x v="3"/>
    <n v="6"/>
    <x v="0"/>
    <x v="0"/>
    <x v="0"/>
    <n v="17"/>
    <n v="7"/>
    <n v="2.2698060000000003E-2"/>
    <n v="7.5660200000000011E-2"/>
    <n v="6.2876437280000003E-2"/>
    <n v="0.20958812426666668"/>
    <n v="3.3333333333333335"/>
  </r>
  <r>
    <x v="3"/>
    <n v="7"/>
    <x v="0"/>
    <x v="0"/>
    <x v="0"/>
    <n v="15"/>
    <n v="6"/>
    <n v="1.76715E-2"/>
    <n v="5.8904999999999999E-2"/>
    <n v="4.3625137679999995E-2"/>
    <n v="0.1454171256"/>
    <n v="3.3333333333333335"/>
  </r>
  <r>
    <x v="3"/>
    <n v="8"/>
    <x v="0"/>
    <x v="0"/>
    <x v="0"/>
    <n v="10"/>
    <n v="5"/>
    <n v="7.8540000000000016E-3"/>
    <n v="2.6180000000000005E-2"/>
    <n v="1.9310717679999999E-2"/>
    <n v="6.4369058933333334E-2"/>
    <n v="3.3333333333333335"/>
  </r>
  <r>
    <x v="3"/>
    <n v="9"/>
    <x v="0"/>
    <x v="0"/>
    <x v="0"/>
    <n v="13"/>
    <n v="6"/>
    <n v="1.3273260000000002E-2"/>
    <n v="4.4244200000000011E-2"/>
    <n v="3.401379048E-2"/>
    <n v="0.11337930160000001"/>
    <n v="3.3333333333333335"/>
  </r>
  <r>
    <x v="3"/>
    <n v="10"/>
    <x v="2"/>
    <x v="2"/>
    <x v="0"/>
    <n v="16"/>
    <n v="7"/>
    <n v="2.0106240000000001E-2"/>
    <n v="6.7020800000000005E-2"/>
    <n v="0.1062899574"/>
    <n v="0.35429985800000002"/>
    <n v="3.3333333333333335"/>
  </r>
  <r>
    <x v="3"/>
    <n v="11"/>
    <x v="2"/>
    <x v="2"/>
    <x v="0"/>
    <n v="10"/>
    <n v="5"/>
    <n v="7.8540000000000016E-3"/>
    <n v="2.6180000000000005E-2"/>
    <n v="6.0953548199999999E-2"/>
    <n v="0.20317849400000002"/>
    <n v="3.3333333333333335"/>
  </r>
  <r>
    <x v="3"/>
    <n v="12"/>
    <x v="0"/>
    <x v="0"/>
    <x v="0"/>
    <n v="15"/>
    <n v="7"/>
    <n v="1.76715E-2"/>
    <n v="5.8904999999999999E-2"/>
    <n v="5.006130768E-2"/>
    <n v="0.1668710256"/>
    <n v="3.3333333333333335"/>
  </r>
  <r>
    <x v="3"/>
    <n v="13"/>
    <x v="0"/>
    <x v="0"/>
    <x v="0"/>
    <n v="17"/>
    <n v="8"/>
    <n v="2.2698060000000003E-2"/>
    <n v="7.5660200000000011E-2"/>
    <n v="7.1143340080000006E-2"/>
    <n v="0.23714446693333335"/>
    <n v="3.3333333333333335"/>
  </r>
  <r>
    <x v="3"/>
    <n v="14"/>
    <x v="0"/>
    <x v="0"/>
    <x v="0"/>
    <n v="16"/>
    <n v="7"/>
    <n v="2.0106240000000001E-2"/>
    <n v="6.7020800000000005E-2"/>
    <n v="5.6268636079999997E-2"/>
    <n v="0.18756212026666666"/>
    <n v="3.3333333333333335"/>
  </r>
  <r>
    <x v="3"/>
    <n v="15"/>
    <x v="0"/>
    <x v="0"/>
    <x v="0"/>
    <n v="18"/>
    <n v="8"/>
    <n v="2.5446959999999998E-2"/>
    <n v="8.4823200000000001E-2"/>
    <n v="7.9152796080000004E-2"/>
    <n v="0.26384265360000003"/>
    <n v="3.3333333333333335"/>
  </r>
  <r>
    <x v="3"/>
    <n v="16"/>
    <x v="0"/>
    <x v="0"/>
    <x v="0"/>
    <n v="14"/>
    <n v="6"/>
    <n v="1.5393840000000002E-2"/>
    <n v="5.1312800000000013E-2"/>
    <n v="3.8647832879999997E-2"/>
    <n v="0.12882610959999999"/>
    <n v="3.3333333333333335"/>
  </r>
  <r>
    <x v="3"/>
    <n v="17"/>
    <x v="0"/>
    <x v="0"/>
    <x v="0"/>
    <n v="15"/>
    <n v="7"/>
    <n v="1.76715E-2"/>
    <n v="5.8904999999999999E-2"/>
    <n v="5.006130768E-2"/>
    <n v="0.1668710256"/>
    <n v="3.3333333333333335"/>
  </r>
  <r>
    <x v="3"/>
    <n v="18"/>
    <x v="0"/>
    <x v="0"/>
    <x v="0"/>
    <n v="17"/>
    <n v="6"/>
    <n v="2.2698060000000003E-2"/>
    <n v="7.5660200000000011E-2"/>
    <n v="5.4609534479999999E-2"/>
    <n v="0.1820317816"/>
    <n v="3.3333333333333335"/>
  </r>
  <r>
    <x v="3"/>
    <n v="19"/>
    <x v="0"/>
    <x v="0"/>
    <x v="0"/>
    <n v="18"/>
    <n v="7"/>
    <n v="2.5446959999999998E-2"/>
    <n v="8.4823200000000001E-2"/>
    <n v="6.9884711279999984E-2"/>
    <n v="0.23294903759999996"/>
    <n v="3.3333333333333335"/>
  </r>
  <r>
    <x v="3"/>
    <n v="20"/>
    <x v="0"/>
    <x v="0"/>
    <x v="0"/>
    <n v="14"/>
    <n v="6"/>
    <n v="1.5393840000000002E-2"/>
    <n v="5.1312800000000013E-2"/>
    <n v="3.8647832879999997E-2"/>
    <n v="0.12882610959999999"/>
    <n v="3.3333333333333335"/>
  </r>
  <r>
    <x v="3"/>
    <n v="21"/>
    <x v="0"/>
    <x v="0"/>
    <x v="0"/>
    <n v="12"/>
    <n v="5"/>
    <n v="1.130976E-2"/>
    <n v="3.7699200000000002E-2"/>
    <n v="2.5603861679999999E-2"/>
    <n v="8.5346205600000002E-2"/>
    <n v="3.3333333333333335"/>
  </r>
  <r>
    <x v="3"/>
    <n v="22"/>
    <x v="0"/>
    <x v="0"/>
    <x v="0"/>
    <n v="16"/>
    <n v="7"/>
    <n v="2.0106240000000001E-2"/>
    <n v="6.7020800000000005E-2"/>
    <n v="5.6268636079999997E-2"/>
    <n v="0.18756212026666666"/>
    <n v="3.3333333333333335"/>
  </r>
  <r>
    <x v="3"/>
    <n v="23"/>
    <x v="0"/>
    <x v="0"/>
    <x v="0"/>
    <n v="13"/>
    <n v="6"/>
    <n v="1.3273260000000002E-2"/>
    <n v="4.4244200000000011E-2"/>
    <n v="3.401379048E-2"/>
    <n v="0.11337930160000001"/>
    <n v="3.3333333333333335"/>
  </r>
  <r>
    <x v="3"/>
    <n v="24"/>
    <x v="0"/>
    <x v="0"/>
    <x v="0"/>
    <n v="17"/>
    <n v="7"/>
    <n v="2.2698060000000003E-2"/>
    <n v="7.5660200000000011E-2"/>
    <n v="6.2876437280000003E-2"/>
    <n v="0.20958812426666668"/>
    <n v="3.3333333333333335"/>
  </r>
  <r>
    <x v="4"/>
    <n v="1"/>
    <x v="0"/>
    <x v="0"/>
    <x v="0"/>
    <n v="12"/>
    <n v="5"/>
    <n v="1.130976E-2"/>
    <n v="3.7699200000000002E-2"/>
    <n v="2.5603861679999999E-2"/>
    <n v="8.5346205600000002E-2"/>
    <n v="3.3333333333333335"/>
  </r>
  <r>
    <x v="4"/>
    <n v="2"/>
    <x v="2"/>
    <x v="2"/>
    <x v="0"/>
    <n v="17"/>
    <n v="7"/>
    <n v="2.2698060000000003E-2"/>
    <n v="7.5660200000000011E-2"/>
    <n v="0.11439577049999999"/>
    <n v="0.38131923499999998"/>
    <n v="3.3333333333333335"/>
  </r>
  <r>
    <x v="4"/>
    <n v="3"/>
    <x v="2"/>
    <x v="2"/>
    <x v="0"/>
    <n v="12"/>
    <n v="6"/>
    <n v="1.130976E-2"/>
    <n v="3.7699200000000002E-2"/>
    <n v="7.3726344599999993E-2"/>
    <n v="0.245754482"/>
    <n v="3.3333333333333335"/>
  </r>
  <r>
    <x v="4"/>
    <n v="4"/>
    <x v="2"/>
    <x v="2"/>
    <x v="0"/>
    <n v="10"/>
    <n v="5"/>
    <n v="7.8540000000000016E-3"/>
    <n v="2.6180000000000005E-2"/>
    <n v="6.0953548199999999E-2"/>
    <n v="0.20317849400000002"/>
    <n v="3.3333333333333335"/>
  </r>
  <r>
    <x v="4"/>
    <n v="5"/>
    <x v="2"/>
    <x v="2"/>
    <x v="0"/>
    <n v="15"/>
    <n v="6"/>
    <n v="1.76715E-2"/>
    <n v="5.8904999999999999E-2"/>
    <n v="9.0780133200000002E-2"/>
    <n v="0.30260044400000002"/>
    <n v="3.3333333333333335"/>
  </r>
  <r>
    <x v="4"/>
    <n v="6"/>
    <x v="2"/>
    <x v="2"/>
    <x v="0"/>
    <n v="16"/>
    <n v="7"/>
    <n v="2.0106240000000001E-2"/>
    <n v="6.7020800000000005E-2"/>
    <n v="0.1062899574"/>
    <n v="0.35429985800000002"/>
    <n v="3.3333333333333335"/>
  </r>
  <r>
    <x v="4"/>
    <n v="7"/>
    <x v="2"/>
    <x v="2"/>
    <x v="0"/>
    <n v="14"/>
    <n v="6"/>
    <n v="1.5393840000000002E-2"/>
    <n v="5.1312800000000013E-2"/>
    <n v="8.4674455799999993E-2"/>
    <n v="0.28224818600000001"/>
    <n v="3.3333333333333335"/>
  </r>
  <r>
    <x v="4"/>
    <n v="8"/>
    <x v="2"/>
    <x v="2"/>
    <x v="0"/>
    <n v="12"/>
    <n v="6"/>
    <n v="1.130976E-2"/>
    <n v="3.7699200000000002E-2"/>
    <n v="7.3726344599999993E-2"/>
    <n v="0.245754482"/>
    <n v="3.3333333333333335"/>
  </r>
  <r>
    <x v="4"/>
    <n v="9"/>
    <x v="0"/>
    <x v="0"/>
    <x v="0"/>
    <n v="14"/>
    <n v="7"/>
    <n v="1.5393840000000002E-2"/>
    <n v="5.1312800000000013E-2"/>
    <n v="4.4254452079999999E-2"/>
    <n v="0.14751484026666667"/>
    <n v="3.3333333333333335"/>
  </r>
  <r>
    <x v="4"/>
    <n v="10"/>
    <x v="0"/>
    <x v="0"/>
    <x v="0"/>
    <n v="17"/>
    <n v="8"/>
    <n v="2.2698060000000003E-2"/>
    <n v="7.5660200000000011E-2"/>
    <n v="7.1143340080000006E-2"/>
    <n v="0.23714446693333335"/>
    <n v="3.3333333333333335"/>
  </r>
  <r>
    <x v="4"/>
    <n v="11"/>
    <x v="0"/>
    <x v="0"/>
    <x v="0"/>
    <n v="15"/>
    <n v="7"/>
    <n v="1.76715E-2"/>
    <n v="5.8904999999999999E-2"/>
    <n v="5.006130768E-2"/>
    <n v="0.1668710256"/>
    <n v="3.3333333333333335"/>
  </r>
  <r>
    <x v="4"/>
    <n v="12"/>
    <x v="0"/>
    <x v="0"/>
    <x v="0"/>
    <n v="18"/>
    <n v="9"/>
    <n v="2.5446959999999998E-2"/>
    <n v="8.4823200000000001E-2"/>
    <n v="8.8420880879999997E-2"/>
    <n v="0.29473626959999999"/>
    <n v="3.3333333333333335"/>
  </r>
  <r>
    <x v="4"/>
    <n v="13"/>
    <x v="0"/>
    <x v="0"/>
    <x v="0"/>
    <n v="16"/>
    <n v="6"/>
    <n v="2.0106240000000001E-2"/>
    <n v="6.7020800000000005E-2"/>
    <n v="4.8945704879999996E-2"/>
    <n v="0.1631523496"/>
    <n v="3.3333333333333335"/>
  </r>
  <r>
    <x v="4"/>
    <n v="14"/>
    <x v="2"/>
    <x v="2"/>
    <x v="0"/>
    <n v="12"/>
    <n v="6"/>
    <n v="1.130976E-2"/>
    <n v="3.7699200000000002E-2"/>
    <n v="7.3726344599999993E-2"/>
    <n v="0.245754482"/>
    <n v="3.3333333333333335"/>
  </r>
  <r>
    <x v="4"/>
    <n v="15"/>
    <x v="2"/>
    <x v="2"/>
    <x v="0"/>
    <n v="10"/>
    <n v="5"/>
    <n v="7.8540000000000016E-3"/>
    <n v="2.6180000000000005E-2"/>
    <n v="6.0953548199999999E-2"/>
    <n v="0.20317849400000002"/>
    <n v="3.3333333333333335"/>
  </r>
  <r>
    <x v="4"/>
    <n v="16"/>
    <x v="0"/>
    <x v="0"/>
    <x v="2"/>
    <n v="14"/>
    <n v="7"/>
    <n v="1.5393840000000002E-2"/>
    <n v="5.1312800000000013E-2"/>
    <n v="4.4254452079999999E-2"/>
    <n v="0.14751484026666667"/>
    <n v="3.3333333333333335"/>
  </r>
  <r>
    <x v="4"/>
    <n v="17"/>
    <x v="2"/>
    <x v="2"/>
    <x v="0"/>
    <n v="17"/>
    <n v="7"/>
    <n v="2.2698060000000003E-2"/>
    <n v="7.5660200000000011E-2"/>
    <n v="0.11439577049999999"/>
    <n v="0.38131923499999998"/>
    <n v="3.3333333333333335"/>
  </r>
  <r>
    <x v="4"/>
    <n v="18"/>
    <x v="2"/>
    <x v="2"/>
    <x v="4"/>
    <n v="38"/>
    <n v="18"/>
    <n v="0.11341176"/>
    <n v="0.37803920000000002"/>
    <n v="0.95547037739999996"/>
    <n v="3.184901258"/>
    <n v="3.3333333333333335"/>
  </r>
  <r>
    <x v="4"/>
    <n v="19"/>
    <x v="0"/>
    <x v="0"/>
    <x v="0"/>
    <n v="12"/>
    <n v="6"/>
    <n v="1.130976E-2"/>
    <n v="3.7699200000000002E-2"/>
    <n v="2.9723010479999999E-2"/>
    <n v="9.9076701599999997E-2"/>
    <n v="3.3333333333333335"/>
  </r>
  <r>
    <x v="4"/>
    <n v="20"/>
    <x v="0"/>
    <x v="0"/>
    <x v="0"/>
    <n v="12"/>
    <n v="6"/>
    <n v="1.130976E-2"/>
    <n v="3.7699200000000002E-2"/>
    <n v="2.9723010479999999E-2"/>
    <n v="9.9076701599999997E-2"/>
    <n v="3.3333333333333335"/>
  </r>
  <r>
    <x v="4"/>
    <n v="21"/>
    <x v="0"/>
    <x v="0"/>
    <x v="0"/>
    <n v="12"/>
    <n v="6"/>
    <n v="1.130976E-2"/>
    <n v="3.7699200000000002E-2"/>
    <n v="2.9723010479999999E-2"/>
    <n v="9.9076701599999997E-2"/>
    <n v="3.3333333333333335"/>
  </r>
  <r>
    <x v="4"/>
    <n v="22"/>
    <x v="2"/>
    <x v="2"/>
    <x v="4"/>
    <n v="37"/>
    <n v="17"/>
    <n v="0.10752125999999999"/>
    <n v="0.35840420000000001"/>
    <n v="0.86006039550000002"/>
    <n v="2.8668679850000003"/>
    <n v="3.3333333333333335"/>
  </r>
  <r>
    <x v="5"/>
    <n v="1"/>
    <x v="0"/>
    <x v="0"/>
    <x v="0"/>
    <n v="12"/>
    <n v="6"/>
    <n v="1.130976E-2"/>
    <n v="3.7699200000000002E-2"/>
    <n v="2.9723010479999999E-2"/>
    <n v="9.9076701599999997E-2"/>
    <n v="3.3333333333333335"/>
  </r>
  <r>
    <x v="5"/>
    <n v="2"/>
    <x v="0"/>
    <x v="0"/>
    <x v="0"/>
    <n v="14"/>
    <n v="7"/>
    <n v="1.5393840000000002E-2"/>
    <n v="5.1312800000000013E-2"/>
    <n v="4.4254452079999999E-2"/>
    <n v="0.14751484026666667"/>
    <n v="3.3333333333333335"/>
  </r>
  <r>
    <x v="5"/>
    <n v="3"/>
    <x v="0"/>
    <x v="0"/>
    <x v="0"/>
    <n v="13"/>
    <n v="6"/>
    <n v="1.3273260000000002E-2"/>
    <n v="4.4244200000000011E-2"/>
    <n v="3.401379048E-2"/>
    <n v="0.11337930160000001"/>
    <n v="3.3333333333333335"/>
  </r>
  <r>
    <x v="5"/>
    <n v="4"/>
    <x v="0"/>
    <x v="0"/>
    <x v="0"/>
    <n v="10"/>
    <n v="5"/>
    <n v="7.8540000000000016E-3"/>
    <n v="2.6180000000000005E-2"/>
    <n v="1.9310717679999999E-2"/>
    <n v="6.4369058933333334E-2"/>
    <n v="3.3333333333333335"/>
  </r>
  <r>
    <x v="5"/>
    <n v="5"/>
    <x v="0"/>
    <x v="0"/>
    <x v="0"/>
    <n v="16"/>
    <n v="7"/>
    <n v="2.0106240000000001E-2"/>
    <n v="6.7020800000000005E-2"/>
    <n v="5.6268636079999997E-2"/>
    <n v="0.18756212026666666"/>
    <n v="3.3333333333333335"/>
  </r>
  <r>
    <x v="5"/>
    <n v="6"/>
    <x v="0"/>
    <x v="0"/>
    <x v="0"/>
    <n v="14"/>
    <n v="6"/>
    <n v="1.5393840000000002E-2"/>
    <n v="5.1312800000000013E-2"/>
    <n v="3.8647832879999997E-2"/>
    <n v="0.12882610959999999"/>
    <n v="3.3333333333333335"/>
  </r>
  <r>
    <x v="5"/>
    <n v="7"/>
    <x v="0"/>
    <x v="0"/>
    <x v="0"/>
    <n v="15"/>
    <n v="7"/>
    <n v="1.76715E-2"/>
    <n v="5.8904999999999999E-2"/>
    <n v="5.006130768E-2"/>
    <n v="0.1668710256"/>
    <n v="3.3333333333333335"/>
  </r>
  <r>
    <x v="5"/>
    <n v="8"/>
    <x v="0"/>
    <x v="0"/>
    <x v="0"/>
    <n v="14"/>
    <n v="7"/>
    <n v="1.5393840000000002E-2"/>
    <n v="5.1312800000000013E-2"/>
    <n v="4.4254452079999999E-2"/>
    <n v="0.14751484026666667"/>
    <n v="3.3333333333333335"/>
  </r>
  <r>
    <x v="5"/>
    <n v="9"/>
    <x v="0"/>
    <x v="0"/>
    <x v="0"/>
    <n v="16"/>
    <n v="8"/>
    <n v="2.0106240000000001E-2"/>
    <n v="6.7020800000000005E-2"/>
    <n v="6.3591567279999997E-2"/>
    <n v="0.21197189093333332"/>
    <n v="3.3333333333333335"/>
  </r>
  <r>
    <x v="5"/>
    <n v="10"/>
    <x v="0"/>
    <x v="0"/>
    <x v="0"/>
    <n v="17"/>
    <n v="7"/>
    <n v="2.2698060000000003E-2"/>
    <n v="7.5660200000000011E-2"/>
    <n v="6.2876437280000003E-2"/>
    <n v="0.20958812426666668"/>
    <n v="3.3333333333333335"/>
  </r>
  <r>
    <x v="5"/>
    <n v="11"/>
    <x v="0"/>
    <x v="0"/>
    <x v="0"/>
    <n v="14"/>
    <n v="6"/>
    <n v="1.5393840000000002E-2"/>
    <n v="5.1312800000000013E-2"/>
    <n v="3.8647832879999997E-2"/>
    <n v="0.12882610959999999"/>
    <n v="3.3333333333333335"/>
  </r>
  <r>
    <x v="5"/>
    <n v="12"/>
    <x v="0"/>
    <x v="0"/>
    <x v="0"/>
    <n v="13"/>
    <n v="6"/>
    <n v="1.3273260000000002E-2"/>
    <n v="4.4244200000000011E-2"/>
    <n v="3.401379048E-2"/>
    <n v="0.11337930160000001"/>
    <n v="3.3333333333333335"/>
  </r>
  <r>
    <x v="5"/>
    <n v="13"/>
    <x v="0"/>
    <x v="0"/>
    <x v="0"/>
    <n v="14"/>
    <n v="6"/>
    <n v="1.5393840000000002E-2"/>
    <n v="5.1312800000000013E-2"/>
    <n v="3.8647832879999997E-2"/>
    <n v="0.12882610959999999"/>
    <n v="3.3333333333333335"/>
  </r>
  <r>
    <x v="5"/>
    <n v="14"/>
    <x v="0"/>
    <x v="0"/>
    <x v="0"/>
    <n v="10"/>
    <n v="5"/>
    <n v="7.8540000000000016E-3"/>
    <n v="2.6180000000000005E-2"/>
    <n v="1.9310717679999999E-2"/>
    <n v="6.4369058933333334E-2"/>
    <n v="3.3333333333333335"/>
  </r>
  <r>
    <x v="5"/>
    <n v="15"/>
    <x v="0"/>
    <x v="0"/>
    <x v="0"/>
    <n v="11"/>
    <n v="5"/>
    <n v="9.503339999999999E-3"/>
    <n v="3.1677799999999999E-2"/>
    <n v="2.2314263679999998E-2"/>
    <n v="7.4380878933333325E-2"/>
    <n v="3.3333333333333335"/>
  </r>
  <r>
    <x v="5"/>
    <n v="16"/>
    <x v="0"/>
    <x v="0"/>
    <x v="0"/>
    <n v="13"/>
    <n v="7"/>
    <n v="1.3273260000000002E-2"/>
    <n v="4.4244200000000011E-2"/>
    <n v="3.8848069280000001E-2"/>
    <n v="0.12949356426666667"/>
    <n v="3.3333333333333335"/>
  </r>
  <r>
    <x v="5"/>
    <n v="17"/>
    <x v="0"/>
    <x v="0"/>
    <x v="0"/>
    <n v="15"/>
    <n v="6"/>
    <n v="1.76715E-2"/>
    <n v="5.8904999999999999E-2"/>
    <n v="4.3625137679999995E-2"/>
    <n v="0.1454171256"/>
    <n v="3.3333333333333335"/>
  </r>
  <r>
    <x v="5"/>
    <n v="18"/>
    <x v="0"/>
    <x v="0"/>
    <x v="0"/>
    <n v="14"/>
    <n v="7"/>
    <n v="1.5393840000000002E-2"/>
    <n v="5.1312800000000013E-2"/>
    <n v="4.4254452079999999E-2"/>
    <n v="0.14751484026666667"/>
    <n v="3.3333333333333335"/>
  </r>
  <r>
    <x v="5"/>
    <n v="19"/>
    <x v="2"/>
    <x v="2"/>
    <x v="0"/>
    <n v="17"/>
    <n v="8"/>
    <n v="2.2698060000000003E-2"/>
    <n v="7.5660200000000011E-2"/>
    <n v="0.1245368094"/>
    <n v="0.41512269800000001"/>
    <n v="3.3333333333333335"/>
  </r>
  <r>
    <x v="5"/>
    <n v="20"/>
    <x v="2"/>
    <x v="2"/>
    <x v="0"/>
    <n v="15"/>
    <n v="7"/>
    <n v="1.76715E-2"/>
    <n v="5.8904999999999999E-2"/>
    <n v="9.8675405699999996E-2"/>
    <n v="0.32891801900000001"/>
    <n v="3.3333333333333335"/>
  </r>
  <r>
    <x v="5"/>
    <n v="21"/>
    <x v="0"/>
    <x v="0"/>
    <x v="0"/>
    <n v="13"/>
    <n v="6"/>
    <n v="1.3273260000000002E-2"/>
    <n v="4.4244200000000011E-2"/>
    <n v="3.401379048E-2"/>
    <n v="0.11337930160000001"/>
    <n v="3.3333333333333335"/>
  </r>
  <r>
    <x v="5"/>
    <n v="22"/>
    <x v="2"/>
    <x v="2"/>
    <x v="2"/>
    <n v="47"/>
    <n v="20"/>
    <n v="0.17349485999999997"/>
    <n v="0.57831619999999995"/>
    <n v="1.5936891162"/>
    <n v="5.3122970540000001"/>
    <n v="3.333333333333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3" cacheId="35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>
  <location ref="M26:M33" firstHeaderRow="1" firstDataRow="1" firstDataCol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3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1" firstHeaderRow="1" firstDataRow="2" firstDataCol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4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18" firstHeaderRow="1" firstDataRow="2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3"/>
        <item x="4"/>
        <item x="1"/>
        <item x="2"/>
        <item m="1" x="5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4">
    <i>
      <x/>
    </i>
    <i r="1">
      <x/>
    </i>
    <i r="1">
      <x v="1"/>
    </i>
    <i r="1">
      <x v="4"/>
    </i>
    <i>
      <x v="1"/>
    </i>
    <i r="1">
      <x/>
    </i>
    <i r="1">
      <x v="1"/>
    </i>
    <i r="1">
      <x v="2"/>
    </i>
    <i>
      <x v="2"/>
    </i>
    <i r="1">
      <x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6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">
      <pivotArea field="3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L137" totalsRowShown="0">
  <autoFilter ref="A1:L137"/>
  <tableColumns count="12">
    <tableColumn id="1" name="Parcela"/>
    <tableColumn id="2" name="No. Arbol"/>
    <tableColumn id="3" name="Nombre común"/>
    <tableColumn id="4" name="Especie"/>
    <tableColumn id="5" name="Clase diámetrica"/>
    <tableColumn id="6" name="DAP (cm)"/>
    <tableColumn id="7" name="Altura (m)"/>
    <tableColumn id="8" name="Area Basal (m2)"/>
    <tableColumn id="9" name="AB/Ha."/>
    <tableColumn id="10" name="Volumen (m3)"/>
    <tableColumn id="11" name="Volumen/Ha."/>
    <tableColumn id="12" name="Densidad/Ha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zoomScale="91" zoomScaleNormal="91" workbookViewId="0">
      <selection sqref="A1:L137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2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</v>
      </c>
      <c r="C2" s="1" t="s">
        <v>52</v>
      </c>
      <c r="D2" s="1" t="s">
        <v>57</v>
      </c>
      <c r="E2" s="1" t="s">
        <v>53</v>
      </c>
      <c r="F2">
        <v>15</v>
      </c>
      <c r="G2">
        <v>6</v>
      </c>
      <c r="H2" s="3">
        <f t="shared" ref="H2" si="0">0.7854*(F2/100)^2</f>
        <v>1.76715E-2</v>
      </c>
      <c r="I2" s="4">
        <f>H2*1/0.3</f>
        <v>5.8904999999999999E-2</v>
      </c>
      <c r="J2" s="3">
        <f>(0.00500811768+0.0000286052*(F2^2*G2))</f>
        <v>4.3625137679999995E-2</v>
      </c>
      <c r="K2" s="4">
        <f>J2/0.3</f>
        <v>0.1454171256</v>
      </c>
      <c r="L2" s="4">
        <f>1*1/0.3</f>
        <v>3.3333333333333335</v>
      </c>
    </row>
    <row r="3" spans="1:12" x14ac:dyDescent="0.25">
      <c r="A3" s="1">
        <v>1</v>
      </c>
      <c r="B3">
        <v>2</v>
      </c>
      <c r="C3" s="1" t="s">
        <v>52</v>
      </c>
      <c r="D3" s="1" t="s">
        <v>57</v>
      </c>
      <c r="E3" s="1" t="s">
        <v>53</v>
      </c>
      <c r="F3" s="1">
        <v>17</v>
      </c>
      <c r="G3">
        <v>7</v>
      </c>
      <c r="H3" s="3">
        <f t="shared" ref="H3:H66" si="1">0.7854*(F3/100)^2</f>
        <v>2.2698060000000003E-2</v>
      </c>
      <c r="I3" s="4">
        <f t="shared" ref="I3:I66" si="2">H3*1/0.3</f>
        <v>7.5660200000000011E-2</v>
      </c>
      <c r="J3" s="3">
        <f t="shared" ref="J3:J66" si="3">(0.00500811768+0.0000286052*(F3^2*G3))</f>
        <v>6.2876437280000003E-2</v>
      </c>
      <c r="K3" s="4">
        <f t="shared" ref="K3:K66" si="4">J3/0.3</f>
        <v>0.20958812426666668</v>
      </c>
      <c r="L3" s="4">
        <f t="shared" ref="L3:L66" si="5">1*1/0.3</f>
        <v>3.3333333333333335</v>
      </c>
    </row>
    <row r="4" spans="1:12" x14ac:dyDescent="0.25">
      <c r="A4" s="1">
        <v>1</v>
      </c>
      <c r="B4" s="1">
        <v>3</v>
      </c>
      <c r="C4" s="1" t="s">
        <v>52</v>
      </c>
      <c r="D4" s="1" t="s">
        <v>57</v>
      </c>
      <c r="E4" s="1" t="s">
        <v>53</v>
      </c>
      <c r="F4" s="1">
        <v>15</v>
      </c>
      <c r="G4">
        <v>7</v>
      </c>
      <c r="H4" s="3">
        <f t="shared" si="1"/>
        <v>1.76715E-2</v>
      </c>
      <c r="I4" s="4">
        <f t="shared" si="2"/>
        <v>5.8904999999999999E-2</v>
      </c>
      <c r="J4" s="3">
        <f t="shared" si="3"/>
        <v>5.006130768E-2</v>
      </c>
      <c r="K4" s="4">
        <f t="shared" si="4"/>
        <v>0.1668710256</v>
      </c>
      <c r="L4" s="4">
        <f t="shared" si="5"/>
        <v>3.3333333333333335</v>
      </c>
    </row>
    <row r="5" spans="1:12" x14ac:dyDescent="0.25">
      <c r="A5" s="1">
        <v>1</v>
      </c>
      <c r="B5" s="1">
        <v>4</v>
      </c>
      <c r="C5" s="1" t="s">
        <v>52</v>
      </c>
      <c r="D5" s="1" t="s">
        <v>57</v>
      </c>
      <c r="E5" s="1" t="s">
        <v>53</v>
      </c>
      <c r="F5" s="1">
        <v>13</v>
      </c>
      <c r="G5">
        <v>6</v>
      </c>
      <c r="H5" s="3">
        <f t="shared" si="1"/>
        <v>1.3273260000000002E-2</v>
      </c>
      <c r="I5" s="4">
        <f t="shared" si="2"/>
        <v>4.4244200000000011E-2</v>
      </c>
      <c r="J5" s="3">
        <f t="shared" si="3"/>
        <v>3.401379048E-2</v>
      </c>
      <c r="K5" s="4">
        <f t="shared" si="4"/>
        <v>0.11337930160000001</v>
      </c>
      <c r="L5" s="4">
        <f t="shared" si="5"/>
        <v>3.3333333333333335</v>
      </c>
    </row>
    <row r="6" spans="1:12" x14ac:dyDescent="0.25">
      <c r="A6" s="1">
        <v>1</v>
      </c>
      <c r="B6" s="1">
        <v>5</v>
      </c>
      <c r="C6" s="1" t="s">
        <v>52</v>
      </c>
      <c r="D6" s="1" t="s">
        <v>57</v>
      </c>
      <c r="E6" s="1" t="s">
        <v>53</v>
      </c>
      <c r="F6" s="1">
        <v>14</v>
      </c>
      <c r="G6">
        <v>7</v>
      </c>
      <c r="H6" s="3">
        <f t="shared" si="1"/>
        <v>1.5393840000000002E-2</v>
      </c>
      <c r="I6" s="4">
        <f t="shared" si="2"/>
        <v>5.1312800000000013E-2</v>
      </c>
      <c r="J6" s="3">
        <f t="shared" si="3"/>
        <v>4.4254452079999999E-2</v>
      </c>
      <c r="K6" s="4">
        <f t="shared" si="4"/>
        <v>0.14751484026666667</v>
      </c>
      <c r="L6" s="4">
        <f t="shared" si="5"/>
        <v>3.3333333333333335</v>
      </c>
    </row>
    <row r="7" spans="1:12" x14ac:dyDescent="0.25">
      <c r="A7" s="1">
        <v>1</v>
      </c>
      <c r="B7" s="1">
        <v>6</v>
      </c>
      <c r="C7" s="1" t="s">
        <v>52</v>
      </c>
      <c r="D7" s="1" t="s">
        <v>57</v>
      </c>
      <c r="E7" s="1" t="s">
        <v>53</v>
      </c>
      <c r="F7" s="1">
        <v>10</v>
      </c>
      <c r="G7">
        <v>5</v>
      </c>
      <c r="H7" s="3">
        <f t="shared" si="1"/>
        <v>7.8540000000000016E-3</v>
      </c>
      <c r="I7" s="4">
        <f t="shared" si="2"/>
        <v>2.6180000000000005E-2</v>
      </c>
      <c r="J7" s="3">
        <f t="shared" si="3"/>
        <v>1.9310717679999999E-2</v>
      </c>
      <c r="K7" s="4">
        <f t="shared" si="4"/>
        <v>6.4369058933333334E-2</v>
      </c>
      <c r="L7" s="4">
        <f t="shared" si="5"/>
        <v>3.3333333333333335</v>
      </c>
    </row>
    <row r="8" spans="1:12" x14ac:dyDescent="0.25">
      <c r="A8" s="1">
        <v>1</v>
      </c>
      <c r="B8" s="1">
        <v>7</v>
      </c>
      <c r="C8" s="1" t="s">
        <v>52</v>
      </c>
      <c r="D8" s="1" t="s">
        <v>57</v>
      </c>
      <c r="E8" s="1" t="s">
        <v>53</v>
      </c>
      <c r="F8" s="1">
        <v>16</v>
      </c>
      <c r="G8">
        <v>7</v>
      </c>
      <c r="H8" s="3">
        <f t="shared" si="1"/>
        <v>2.0106240000000001E-2</v>
      </c>
      <c r="I8" s="4">
        <f t="shared" si="2"/>
        <v>6.7020800000000005E-2</v>
      </c>
      <c r="J8" s="3">
        <f t="shared" si="3"/>
        <v>5.6268636079999997E-2</v>
      </c>
      <c r="K8" s="4">
        <f t="shared" si="4"/>
        <v>0.18756212026666666</v>
      </c>
      <c r="L8" s="4">
        <f t="shared" si="5"/>
        <v>3.3333333333333335</v>
      </c>
    </row>
    <row r="9" spans="1:12" x14ac:dyDescent="0.25">
      <c r="A9" s="1">
        <v>1</v>
      </c>
      <c r="B9" s="1">
        <v>8</v>
      </c>
      <c r="C9" s="1" t="s">
        <v>52</v>
      </c>
      <c r="D9" s="1" t="s">
        <v>57</v>
      </c>
      <c r="E9" s="1" t="s">
        <v>53</v>
      </c>
      <c r="F9" s="1">
        <v>10</v>
      </c>
      <c r="G9">
        <v>5</v>
      </c>
      <c r="H9" s="3">
        <f t="shared" si="1"/>
        <v>7.8540000000000016E-3</v>
      </c>
      <c r="I9" s="4">
        <f t="shared" si="2"/>
        <v>2.6180000000000005E-2</v>
      </c>
      <c r="J9" s="3">
        <f t="shared" si="3"/>
        <v>1.9310717679999999E-2</v>
      </c>
      <c r="K9" s="4">
        <f t="shared" si="4"/>
        <v>6.4369058933333334E-2</v>
      </c>
      <c r="L9" s="4">
        <f t="shared" si="5"/>
        <v>3.3333333333333335</v>
      </c>
    </row>
    <row r="10" spans="1:12" s="1" customFormat="1" x14ac:dyDescent="0.25">
      <c r="A10" s="1">
        <v>1</v>
      </c>
      <c r="B10" s="1">
        <v>9</v>
      </c>
      <c r="C10" s="1" t="s">
        <v>55</v>
      </c>
      <c r="D10" s="1" t="s">
        <v>56</v>
      </c>
      <c r="E10" s="1" t="s">
        <v>53</v>
      </c>
      <c r="F10" s="1">
        <v>12</v>
      </c>
      <c r="G10" s="1">
        <v>4</v>
      </c>
      <c r="H10" s="3">
        <f t="shared" si="1"/>
        <v>1.130976E-2</v>
      </c>
      <c r="I10" s="4">
        <f t="shared" si="2"/>
        <v>3.7699200000000002E-2</v>
      </c>
      <c r="J10" s="3">
        <f>(0.108337266+0.000046499*(F10^2*G10))</f>
        <v>0.13512068999999999</v>
      </c>
      <c r="K10" s="4">
        <f t="shared" si="4"/>
        <v>0.45040229999999998</v>
      </c>
      <c r="L10" s="4">
        <f t="shared" si="5"/>
        <v>3.3333333333333335</v>
      </c>
    </row>
    <row r="11" spans="1:12" s="1" customFormat="1" x14ac:dyDescent="0.25">
      <c r="A11" s="1">
        <v>1</v>
      </c>
      <c r="B11" s="1">
        <v>10</v>
      </c>
      <c r="C11" s="1" t="s">
        <v>52</v>
      </c>
      <c r="D11" s="1" t="s">
        <v>57</v>
      </c>
      <c r="E11" s="1" t="s">
        <v>53</v>
      </c>
      <c r="F11" s="1">
        <v>11</v>
      </c>
      <c r="G11" s="1">
        <v>5</v>
      </c>
      <c r="H11" s="3">
        <f t="shared" si="1"/>
        <v>9.503339999999999E-3</v>
      </c>
      <c r="I11" s="4">
        <f t="shared" si="2"/>
        <v>3.1677799999999999E-2</v>
      </c>
      <c r="J11" s="3">
        <f t="shared" si="3"/>
        <v>2.2314263679999998E-2</v>
      </c>
      <c r="K11" s="4">
        <f t="shared" si="4"/>
        <v>7.4380878933333325E-2</v>
      </c>
      <c r="L11" s="4">
        <f t="shared" si="5"/>
        <v>3.3333333333333335</v>
      </c>
    </row>
    <row r="12" spans="1:12" s="1" customFormat="1" x14ac:dyDescent="0.25">
      <c r="A12" s="1">
        <v>1</v>
      </c>
      <c r="B12" s="1">
        <v>11</v>
      </c>
      <c r="C12" s="1" t="s">
        <v>52</v>
      </c>
      <c r="D12" s="1" t="s">
        <v>57</v>
      </c>
      <c r="E12" s="1" t="s">
        <v>53</v>
      </c>
      <c r="F12" s="1">
        <v>12</v>
      </c>
      <c r="G12" s="1">
        <v>6</v>
      </c>
      <c r="H12" s="3">
        <f t="shared" si="1"/>
        <v>1.130976E-2</v>
      </c>
      <c r="I12" s="4">
        <f t="shared" si="2"/>
        <v>3.7699200000000002E-2</v>
      </c>
      <c r="J12" s="3">
        <f t="shared" si="3"/>
        <v>2.9723010479999999E-2</v>
      </c>
      <c r="K12" s="4">
        <f t="shared" si="4"/>
        <v>9.9076701599999997E-2</v>
      </c>
      <c r="L12" s="4">
        <f t="shared" si="5"/>
        <v>3.3333333333333335</v>
      </c>
    </row>
    <row r="13" spans="1:12" s="1" customFormat="1" x14ac:dyDescent="0.25">
      <c r="A13" s="1">
        <v>1</v>
      </c>
      <c r="B13" s="1">
        <v>12</v>
      </c>
      <c r="C13" s="1" t="s">
        <v>52</v>
      </c>
      <c r="D13" s="1" t="s">
        <v>57</v>
      </c>
      <c r="E13" s="1" t="s">
        <v>53</v>
      </c>
      <c r="F13" s="1">
        <v>10</v>
      </c>
      <c r="G13" s="1">
        <v>6</v>
      </c>
      <c r="H13" s="3">
        <f t="shared" si="1"/>
        <v>7.8540000000000016E-3</v>
      </c>
      <c r="I13" s="4">
        <f t="shared" si="2"/>
        <v>2.6180000000000005E-2</v>
      </c>
      <c r="J13" s="3">
        <f t="shared" si="3"/>
        <v>2.2171237680000001E-2</v>
      </c>
      <c r="K13" s="4">
        <f t="shared" si="4"/>
        <v>7.3904125600000009E-2</v>
      </c>
      <c r="L13" s="4">
        <f t="shared" si="5"/>
        <v>3.3333333333333335</v>
      </c>
    </row>
    <row r="14" spans="1:12" s="1" customFormat="1" x14ac:dyDescent="0.25">
      <c r="A14" s="1">
        <v>1</v>
      </c>
      <c r="B14" s="1">
        <v>13</v>
      </c>
      <c r="C14" s="1" t="s">
        <v>52</v>
      </c>
      <c r="D14" s="1" t="s">
        <v>57</v>
      </c>
      <c r="E14" s="1" t="s">
        <v>53</v>
      </c>
      <c r="F14" s="1">
        <v>13</v>
      </c>
      <c r="G14" s="1">
        <v>7</v>
      </c>
      <c r="H14" s="3">
        <f t="shared" si="1"/>
        <v>1.3273260000000002E-2</v>
      </c>
      <c r="I14" s="4">
        <f t="shared" si="2"/>
        <v>4.4244200000000011E-2</v>
      </c>
      <c r="J14" s="3">
        <f t="shared" si="3"/>
        <v>3.8848069280000001E-2</v>
      </c>
      <c r="K14" s="4">
        <f t="shared" si="4"/>
        <v>0.12949356426666667</v>
      </c>
      <c r="L14" s="4">
        <f t="shared" si="5"/>
        <v>3.3333333333333335</v>
      </c>
    </row>
    <row r="15" spans="1:12" s="1" customFormat="1" x14ac:dyDescent="0.25">
      <c r="A15" s="1">
        <v>1</v>
      </c>
      <c r="B15" s="1">
        <v>14</v>
      </c>
      <c r="C15" s="1" t="s">
        <v>52</v>
      </c>
      <c r="D15" s="1" t="s">
        <v>57</v>
      </c>
      <c r="E15" s="1" t="s">
        <v>53</v>
      </c>
      <c r="F15" s="1">
        <v>10</v>
      </c>
      <c r="G15" s="1">
        <v>4</v>
      </c>
      <c r="H15" s="3">
        <f t="shared" si="1"/>
        <v>7.8540000000000016E-3</v>
      </c>
      <c r="I15" s="4">
        <f t="shared" si="2"/>
        <v>2.6180000000000005E-2</v>
      </c>
      <c r="J15" s="3">
        <f t="shared" si="3"/>
        <v>1.645019768E-2</v>
      </c>
      <c r="K15" s="4">
        <f t="shared" si="4"/>
        <v>5.4833992266666673E-2</v>
      </c>
      <c r="L15" s="4">
        <f t="shared" si="5"/>
        <v>3.3333333333333335</v>
      </c>
    </row>
    <row r="16" spans="1:12" s="1" customFormat="1" x14ac:dyDescent="0.25">
      <c r="A16" s="1">
        <v>1</v>
      </c>
      <c r="B16" s="1">
        <v>15</v>
      </c>
      <c r="C16" s="1" t="s">
        <v>52</v>
      </c>
      <c r="D16" s="1" t="s">
        <v>57</v>
      </c>
      <c r="E16" s="1" t="s">
        <v>53</v>
      </c>
      <c r="F16" s="1">
        <v>12</v>
      </c>
      <c r="G16" s="1">
        <v>7</v>
      </c>
      <c r="H16" s="3">
        <f t="shared" si="1"/>
        <v>1.130976E-2</v>
      </c>
      <c r="I16" s="4">
        <f t="shared" si="2"/>
        <v>3.7699200000000002E-2</v>
      </c>
      <c r="J16" s="3">
        <f t="shared" si="3"/>
        <v>3.3842159279999999E-2</v>
      </c>
      <c r="K16" s="4">
        <f t="shared" si="4"/>
        <v>0.11280719760000001</v>
      </c>
      <c r="L16" s="4">
        <f t="shared" si="5"/>
        <v>3.3333333333333335</v>
      </c>
    </row>
    <row r="17" spans="1:12" s="1" customFormat="1" x14ac:dyDescent="0.25">
      <c r="A17" s="1">
        <v>1</v>
      </c>
      <c r="B17" s="1">
        <v>16</v>
      </c>
      <c r="C17" s="1" t="s">
        <v>52</v>
      </c>
      <c r="D17" s="1" t="s">
        <v>57</v>
      </c>
      <c r="E17" s="1" t="s">
        <v>53</v>
      </c>
      <c r="F17" s="1">
        <v>12</v>
      </c>
      <c r="G17" s="1">
        <v>6</v>
      </c>
      <c r="H17" s="3">
        <f t="shared" si="1"/>
        <v>1.130976E-2</v>
      </c>
      <c r="I17" s="4">
        <f t="shared" si="2"/>
        <v>3.7699200000000002E-2</v>
      </c>
      <c r="J17" s="3">
        <f t="shared" si="3"/>
        <v>2.9723010479999999E-2</v>
      </c>
      <c r="K17" s="4">
        <f t="shared" si="4"/>
        <v>9.9076701599999997E-2</v>
      </c>
      <c r="L17" s="4">
        <f t="shared" si="5"/>
        <v>3.3333333333333335</v>
      </c>
    </row>
    <row r="18" spans="1:12" x14ac:dyDescent="0.25">
      <c r="A18" s="1">
        <v>1</v>
      </c>
      <c r="B18" s="1">
        <v>17</v>
      </c>
      <c r="C18" s="1" t="s">
        <v>52</v>
      </c>
      <c r="D18" s="1" t="s">
        <v>57</v>
      </c>
      <c r="E18" s="1" t="s">
        <v>53</v>
      </c>
      <c r="F18" s="1">
        <v>14</v>
      </c>
      <c r="G18">
        <v>7</v>
      </c>
      <c r="H18" s="3">
        <f t="shared" si="1"/>
        <v>1.5393840000000002E-2</v>
      </c>
      <c r="I18" s="4">
        <f t="shared" si="2"/>
        <v>5.1312800000000013E-2</v>
      </c>
      <c r="J18" s="3">
        <f t="shared" si="3"/>
        <v>4.4254452079999999E-2</v>
      </c>
      <c r="K18" s="4">
        <f t="shared" si="4"/>
        <v>0.14751484026666667</v>
      </c>
      <c r="L18" s="4">
        <f t="shared" si="5"/>
        <v>3.3333333333333335</v>
      </c>
    </row>
    <row r="19" spans="1:12" x14ac:dyDescent="0.25">
      <c r="A19" s="1">
        <v>1</v>
      </c>
      <c r="B19" s="1">
        <v>18</v>
      </c>
      <c r="C19" s="1" t="s">
        <v>52</v>
      </c>
      <c r="D19" s="1" t="s">
        <v>57</v>
      </c>
      <c r="E19" s="1" t="s">
        <v>53</v>
      </c>
      <c r="F19" s="1">
        <v>11</v>
      </c>
      <c r="G19">
        <v>5</v>
      </c>
      <c r="H19" s="3">
        <f t="shared" si="1"/>
        <v>9.503339999999999E-3</v>
      </c>
      <c r="I19" s="4">
        <f t="shared" si="2"/>
        <v>3.1677799999999999E-2</v>
      </c>
      <c r="J19" s="3">
        <f t="shared" si="3"/>
        <v>2.2314263679999998E-2</v>
      </c>
      <c r="K19" s="4">
        <f t="shared" si="4"/>
        <v>7.4380878933333325E-2</v>
      </c>
      <c r="L19" s="4">
        <f t="shared" si="5"/>
        <v>3.3333333333333335</v>
      </c>
    </row>
    <row r="20" spans="1:12" x14ac:dyDescent="0.25">
      <c r="A20" s="1">
        <v>1</v>
      </c>
      <c r="B20" s="1">
        <v>19</v>
      </c>
      <c r="C20" s="1" t="s">
        <v>52</v>
      </c>
      <c r="D20" s="1" t="s">
        <v>57</v>
      </c>
      <c r="E20" s="1" t="s">
        <v>53</v>
      </c>
      <c r="F20" s="1">
        <v>16</v>
      </c>
      <c r="G20">
        <v>8</v>
      </c>
      <c r="H20" s="3">
        <f t="shared" si="1"/>
        <v>2.0106240000000001E-2</v>
      </c>
      <c r="I20" s="4">
        <f t="shared" si="2"/>
        <v>6.7020800000000005E-2</v>
      </c>
      <c r="J20" s="3">
        <f t="shared" si="3"/>
        <v>6.3591567279999997E-2</v>
      </c>
      <c r="K20" s="4">
        <f t="shared" si="4"/>
        <v>0.21197189093333332</v>
      </c>
      <c r="L20" s="4">
        <f t="shared" si="5"/>
        <v>3.3333333333333335</v>
      </c>
    </row>
    <row r="21" spans="1:12" x14ac:dyDescent="0.25">
      <c r="A21" s="1">
        <v>1</v>
      </c>
      <c r="B21" s="1">
        <v>20</v>
      </c>
      <c r="C21" s="1" t="s">
        <v>52</v>
      </c>
      <c r="D21" s="1" t="s">
        <v>57</v>
      </c>
      <c r="E21" s="1" t="s">
        <v>53</v>
      </c>
      <c r="F21" s="1">
        <v>10</v>
      </c>
      <c r="G21">
        <v>5</v>
      </c>
      <c r="H21" s="3">
        <f t="shared" si="1"/>
        <v>7.8540000000000016E-3</v>
      </c>
      <c r="I21" s="4">
        <f t="shared" si="2"/>
        <v>2.6180000000000005E-2</v>
      </c>
      <c r="J21" s="3">
        <f t="shared" si="3"/>
        <v>1.9310717679999999E-2</v>
      </c>
      <c r="K21" s="4">
        <f t="shared" si="4"/>
        <v>6.4369058933333334E-2</v>
      </c>
      <c r="L21" s="4">
        <f t="shared" si="5"/>
        <v>3.3333333333333335</v>
      </c>
    </row>
    <row r="22" spans="1:12" s="1" customFormat="1" x14ac:dyDescent="0.25">
      <c r="A22" s="1">
        <v>1</v>
      </c>
      <c r="B22" s="1">
        <v>21</v>
      </c>
      <c r="C22" s="1" t="s">
        <v>52</v>
      </c>
      <c r="D22" s="1" t="s">
        <v>57</v>
      </c>
      <c r="E22" s="1" t="s">
        <v>53</v>
      </c>
      <c r="F22" s="1">
        <v>13</v>
      </c>
      <c r="G22" s="1">
        <v>7</v>
      </c>
      <c r="H22" s="3">
        <f t="shared" si="1"/>
        <v>1.3273260000000002E-2</v>
      </c>
      <c r="I22" s="4">
        <f t="shared" si="2"/>
        <v>4.4244200000000011E-2</v>
      </c>
      <c r="J22" s="3">
        <f t="shared" si="3"/>
        <v>3.8848069280000001E-2</v>
      </c>
      <c r="K22" s="4">
        <f t="shared" si="4"/>
        <v>0.12949356426666667</v>
      </c>
      <c r="L22" s="4">
        <f t="shared" si="5"/>
        <v>3.3333333333333335</v>
      </c>
    </row>
    <row r="23" spans="1:12" s="1" customFormat="1" x14ac:dyDescent="0.25">
      <c r="A23" s="1">
        <v>1</v>
      </c>
      <c r="B23" s="1">
        <v>22</v>
      </c>
      <c r="C23" s="1" t="s">
        <v>52</v>
      </c>
      <c r="D23" s="1" t="s">
        <v>57</v>
      </c>
      <c r="E23" s="1" t="s">
        <v>53</v>
      </c>
      <c r="F23" s="1">
        <v>18</v>
      </c>
      <c r="G23" s="1">
        <v>8</v>
      </c>
      <c r="H23" s="3">
        <f t="shared" si="1"/>
        <v>2.5446959999999998E-2</v>
      </c>
      <c r="I23" s="4">
        <f t="shared" si="2"/>
        <v>8.4823200000000001E-2</v>
      </c>
      <c r="J23" s="3">
        <f t="shared" si="3"/>
        <v>7.9152796080000004E-2</v>
      </c>
      <c r="K23" s="4">
        <f t="shared" si="4"/>
        <v>0.26384265360000003</v>
      </c>
      <c r="L23" s="4">
        <f t="shared" si="5"/>
        <v>3.3333333333333335</v>
      </c>
    </row>
    <row r="24" spans="1:12" s="1" customFormat="1" x14ac:dyDescent="0.25">
      <c r="A24" s="1">
        <v>1</v>
      </c>
      <c r="B24" s="1">
        <v>23</v>
      </c>
      <c r="C24" s="1" t="s">
        <v>52</v>
      </c>
      <c r="D24" s="1" t="s">
        <v>57</v>
      </c>
      <c r="E24" s="1" t="s">
        <v>53</v>
      </c>
      <c r="F24" s="1">
        <v>15</v>
      </c>
      <c r="G24" s="1">
        <v>7</v>
      </c>
      <c r="H24" s="3">
        <f t="shared" si="1"/>
        <v>1.76715E-2</v>
      </c>
      <c r="I24" s="4">
        <f t="shared" si="2"/>
        <v>5.8904999999999999E-2</v>
      </c>
      <c r="J24" s="3">
        <f t="shared" si="3"/>
        <v>5.006130768E-2</v>
      </c>
      <c r="K24" s="4">
        <f t="shared" si="4"/>
        <v>0.1668710256</v>
      </c>
      <c r="L24" s="4">
        <f t="shared" si="5"/>
        <v>3.3333333333333335</v>
      </c>
    </row>
    <row r="25" spans="1:12" s="1" customFormat="1" x14ac:dyDescent="0.25">
      <c r="A25" s="1">
        <v>1</v>
      </c>
      <c r="B25" s="1">
        <v>24</v>
      </c>
      <c r="C25" s="1" t="s">
        <v>52</v>
      </c>
      <c r="D25" s="1" t="s">
        <v>57</v>
      </c>
      <c r="E25" s="1" t="s">
        <v>53</v>
      </c>
      <c r="F25" s="1">
        <v>17</v>
      </c>
      <c r="G25" s="1">
        <v>8</v>
      </c>
      <c r="H25" s="3">
        <f t="shared" si="1"/>
        <v>2.2698060000000003E-2</v>
      </c>
      <c r="I25" s="4">
        <f t="shared" si="2"/>
        <v>7.5660200000000011E-2</v>
      </c>
      <c r="J25" s="3">
        <f t="shared" si="3"/>
        <v>7.1143340080000006E-2</v>
      </c>
      <c r="K25" s="4">
        <f t="shared" si="4"/>
        <v>0.23714446693333335</v>
      </c>
      <c r="L25" s="4">
        <f t="shared" si="5"/>
        <v>3.3333333333333335</v>
      </c>
    </row>
    <row r="26" spans="1:12" x14ac:dyDescent="0.25">
      <c r="A26" s="1">
        <v>1</v>
      </c>
      <c r="B26" s="1">
        <v>25</v>
      </c>
      <c r="C26" s="1" t="s">
        <v>52</v>
      </c>
      <c r="D26" s="1" t="s">
        <v>57</v>
      </c>
      <c r="E26" s="1" t="s">
        <v>53</v>
      </c>
      <c r="F26" s="1">
        <v>13</v>
      </c>
      <c r="G26">
        <v>6</v>
      </c>
      <c r="H26" s="3">
        <f t="shared" si="1"/>
        <v>1.3273260000000002E-2</v>
      </c>
      <c r="I26" s="4">
        <f t="shared" si="2"/>
        <v>4.4244200000000011E-2</v>
      </c>
      <c r="J26" s="3">
        <f t="shared" si="3"/>
        <v>3.401379048E-2</v>
      </c>
      <c r="K26" s="4">
        <f t="shared" si="4"/>
        <v>0.11337930160000001</v>
      </c>
      <c r="L26" s="4">
        <f t="shared" si="5"/>
        <v>3.3333333333333335</v>
      </c>
    </row>
    <row r="27" spans="1:12" x14ac:dyDescent="0.25">
      <c r="A27" s="1">
        <v>1</v>
      </c>
      <c r="B27" s="1">
        <v>26</v>
      </c>
      <c r="C27" s="1" t="s">
        <v>52</v>
      </c>
      <c r="D27" s="1" t="s">
        <v>57</v>
      </c>
      <c r="E27" s="1" t="s">
        <v>53</v>
      </c>
      <c r="F27" s="1">
        <v>10</v>
      </c>
      <c r="G27">
        <v>5</v>
      </c>
      <c r="H27" s="3">
        <f t="shared" si="1"/>
        <v>7.8540000000000016E-3</v>
      </c>
      <c r="I27" s="4">
        <f t="shared" si="2"/>
        <v>2.6180000000000005E-2</v>
      </c>
      <c r="J27" s="3">
        <f t="shared" si="3"/>
        <v>1.9310717679999999E-2</v>
      </c>
      <c r="K27" s="4">
        <f t="shared" si="4"/>
        <v>6.4369058933333334E-2</v>
      </c>
      <c r="L27" s="4">
        <f t="shared" si="5"/>
        <v>3.3333333333333335</v>
      </c>
    </row>
    <row r="28" spans="1:12" x14ac:dyDescent="0.25">
      <c r="A28" s="1">
        <v>1</v>
      </c>
      <c r="B28" s="1">
        <v>27</v>
      </c>
      <c r="C28" s="1" t="s">
        <v>52</v>
      </c>
      <c r="D28" s="1" t="s">
        <v>57</v>
      </c>
      <c r="E28" s="1" t="s">
        <v>53</v>
      </c>
      <c r="F28" s="1">
        <v>18</v>
      </c>
      <c r="G28">
        <v>9</v>
      </c>
      <c r="H28" s="3">
        <f t="shared" si="1"/>
        <v>2.5446959999999998E-2</v>
      </c>
      <c r="I28" s="4">
        <f t="shared" si="2"/>
        <v>8.4823200000000001E-2</v>
      </c>
      <c r="J28" s="3">
        <f t="shared" si="3"/>
        <v>8.8420880879999997E-2</v>
      </c>
      <c r="K28" s="4">
        <f t="shared" si="4"/>
        <v>0.29473626959999999</v>
      </c>
      <c r="L28" s="4">
        <f t="shared" si="5"/>
        <v>3.3333333333333335</v>
      </c>
    </row>
    <row r="29" spans="1:12" x14ac:dyDescent="0.25">
      <c r="A29" s="1">
        <v>1</v>
      </c>
      <c r="B29" s="1">
        <v>28</v>
      </c>
      <c r="C29" s="1" t="s">
        <v>58</v>
      </c>
      <c r="D29" s="1" t="s">
        <v>59</v>
      </c>
      <c r="E29" s="1" t="s">
        <v>61</v>
      </c>
      <c r="F29" s="1">
        <v>55</v>
      </c>
      <c r="G29">
        <v>18</v>
      </c>
      <c r="H29" s="3">
        <f t="shared" si="1"/>
        <v>0.23758350000000003</v>
      </c>
      <c r="I29" s="4">
        <f t="shared" si="2"/>
        <v>0.79194500000000012</v>
      </c>
      <c r="J29" s="3">
        <f>(0.0434084982+0.0000350901*(F29^2*G29))</f>
        <v>1.9540644431999998</v>
      </c>
      <c r="K29" s="4">
        <f t="shared" si="4"/>
        <v>6.5135481439999996</v>
      </c>
      <c r="L29" s="4">
        <f t="shared" si="5"/>
        <v>3.3333333333333335</v>
      </c>
    </row>
    <row r="30" spans="1:12" x14ac:dyDescent="0.25">
      <c r="A30">
        <v>2</v>
      </c>
      <c r="B30">
        <v>1</v>
      </c>
      <c r="C30" s="1" t="s">
        <v>52</v>
      </c>
      <c r="D30" s="1" t="s">
        <v>57</v>
      </c>
      <c r="E30" s="1" t="s">
        <v>53</v>
      </c>
      <c r="F30" s="1">
        <v>12</v>
      </c>
      <c r="G30">
        <v>5</v>
      </c>
      <c r="H30" s="3">
        <f t="shared" si="1"/>
        <v>1.130976E-2</v>
      </c>
      <c r="I30" s="4">
        <f t="shared" si="2"/>
        <v>3.7699200000000002E-2</v>
      </c>
      <c r="J30" s="3">
        <f t="shared" si="3"/>
        <v>2.5603861679999999E-2</v>
      </c>
      <c r="K30" s="4">
        <f t="shared" si="4"/>
        <v>8.5346205600000002E-2</v>
      </c>
      <c r="L30" s="4">
        <f t="shared" si="5"/>
        <v>3.3333333333333335</v>
      </c>
    </row>
    <row r="31" spans="1:12" x14ac:dyDescent="0.25">
      <c r="A31">
        <v>2</v>
      </c>
      <c r="B31">
        <v>2</v>
      </c>
      <c r="C31" s="1" t="s">
        <v>52</v>
      </c>
      <c r="D31" s="1" t="s">
        <v>57</v>
      </c>
      <c r="E31" s="1" t="s">
        <v>53</v>
      </c>
      <c r="F31" s="1">
        <v>17</v>
      </c>
      <c r="G31">
        <v>7</v>
      </c>
      <c r="H31" s="3">
        <f t="shared" si="1"/>
        <v>2.2698060000000003E-2</v>
      </c>
      <c r="I31" s="4">
        <f t="shared" si="2"/>
        <v>7.5660200000000011E-2</v>
      </c>
      <c r="J31" s="3">
        <f t="shared" si="3"/>
        <v>6.2876437280000003E-2</v>
      </c>
      <c r="K31" s="4">
        <f t="shared" si="4"/>
        <v>0.20958812426666668</v>
      </c>
      <c r="L31" s="4">
        <f t="shared" si="5"/>
        <v>3.3333333333333335</v>
      </c>
    </row>
    <row r="32" spans="1:12" x14ac:dyDescent="0.25">
      <c r="A32" s="1">
        <v>2</v>
      </c>
      <c r="B32" s="1">
        <v>3</v>
      </c>
      <c r="C32" s="1" t="s">
        <v>52</v>
      </c>
      <c r="D32" s="1" t="s">
        <v>57</v>
      </c>
      <c r="E32" s="1" t="s">
        <v>53</v>
      </c>
      <c r="F32" s="1">
        <v>19</v>
      </c>
      <c r="G32">
        <v>8</v>
      </c>
      <c r="H32" s="3">
        <f t="shared" si="1"/>
        <v>2.835294E-2</v>
      </c>
      <c r="I32" s="4">
        <f t="shared" si="2"/>
        <v>9.4509800000000005E-2</v>
      </c>
      <c r="J32" s="3">
        <f t="shared" si="3"/>
        <v>8.7619935280000005E-2</v>
      </c>
      <c r="K32" s="4">
        <f t="shared" si="4"/>
        <v>0.29206645093333339</v>
      </c>
      <c r="L32" s="4">
        <f t="shared" si="5"/>
        <v>3.3333333333333335</v>
      </c>
    </row>
    <row r="33" spans="1:12" x14ac:dyDescent="0.25">
      <c r="A33" s="1">
        <v>2</v>
      </c>
      <c r="B33" s="1">
        <v>4</v>
      </c>
      <c r="C33" s="1" t="s">
        <v>52</v>
      </c>
      <c r="D33" s="1" t="s">
        <v>57</v>
      </c>
      <c r="E33" s="1" t="s">
        <v>53</v>
      </c>
      <c r="F33" s="1">
        <v>10</v>
      </c>
      <c r="G33">
        <v>5</v>
      </c>
      <c r="H33" s="3">
        <f t="shared" si="1"/>
        <v>7.8540000000000016E-3</v>
      </c>
      <c r="I33" s="4">
        <f t="shared" si="2"/>
        <v>2.6180000000000005E-2</v>
      </c>
      <c r="J33" s="3">
        <f t="shared" si="3"/>
        <v>1.9310717679999999E-2</v>
      </c>
      <c r="K33" s="4">
        <f t="shared" si="4"/>
        <v>6.4369058933333334E-2</v>
      </c>
      <c r="L33" s="4">
        <f t="shared" si="5"/>
        <v>3.3333333333333335</v>
      </c>
    </row>
    <row r="34" spans="1:12" x14ac:dyDescent="0.25">
      <c r="A34" s="1">
        <v>2</v>
      </c>
      <c r="B34" s="1">
        <v>5</v>
      </c>
      <c r="C34" s="1" t="s">
        <v>52</v>
      </c>
      <c r="D34" s="1" t="s">
        <v>57</v>
      </c>
      <c r="E34" s="1" t="s">
        <v>53</v>
      </c>
      <c r="F34" s="1">
        <v>16</v>
      </c>
      <c r="G34">
        <v>7</v>
      </c>
      <c r="H34" s="3">
        <f t="shared" si="1"/>
        <v>2.0106240000000001E-2</v>
      </c>
      <c r="I34" s="4">
        <f t="shared" si="2"/>
        <v>6.7020800000000005E-2</v>
      </c>
      <c r="J34" s="3">
        <f t="shared" si="3"/>
        <v>5.6268636079999997E-2</v>
      </c>
      <c r="K34" s="4">
        <f t="shared" si="4"/>
        <v>0.18756212026666666</v>
      </c>
      <c r="L34" s="4">
        <f t="shared" si="5"/>
        <v>3.3333333333333335</v>
      </c>
    </row>
    <row r="35" spans="1:12" x14ac:dyDescent="0.25">
      <c r="A35" s="1">
        <v>2</v>
      </c>
      <c r="B35" s="1">
        <v>6</v>
      </c>
      <c r="C35" s="1" t="s">
        <v>52</v>
      </c>
      <c r="D35" s="1" t="s">
        <v>57</v>
      </c>
      <c r="E35" s="1" t="s">
        <v>53</v>
      </c>
      <c r="F35" s="1">
        <v>14</v>
      </c>
      <c r="G35">
        <v>6</v>
      </c>
      <c r="H35" s="3">
        <f t="shared" si="1"/>
        <v>1.5393840000000002E-2</v>
      </c>
      <c r="I35" s="4">
        <f t="shared" si="2"/>
        <v>5.1312800000000013E-2</v>
      </c>
      <c r="J35" s="3">
        <f t="shared" si="3"/>
        <v>3.8647832879999997E-2</v>
      </c>
      <c r="K35" s="4">
        <f t="shared" si="4"/>
        <v>0.12882610959999999</v>
      </c>
      <c r="L35" s="4">
        <f t="shared" si="5"/>
        <v>3.3333333333333335</v>
      </c>
    </row>
    <row r="36" spans="1:12" x14ac:dyDescent="0.25">
      <c r="A36" s="1">
        <v>2</v>
      </c>
      <c r="B36" s="1">
        <v>7</v>
      </c>
      <c r="C36" s="1" t="s">
        <v>52</v>
      </c>
      <c r="D36" s="1" t="s">
        <v>57</v>
      </c>
      <c r="E36" s="1" t="s">
        <v>53</v>
      </c>
      <c r="F36" s="1">
        <v>12</v>
      </c>
      <c r="G36">
        <v>6</v>
      </c>
      <c r="H36" s="3">
        <f t="shared" si="1"/>
        <v>1.130976E-2</v>
      </c>
      <c r="I36" s="4">
        <f t="shared" si="2"/>
        <v>3.7699200000000002E-2</v>
      </c>
      <c r="J36" s="3">
        <f t="shared" si="3"/>
        <v>2.9723010479999999E-2</v>
      </c>
      <c r="K36" s="4">
        <f t="shared" si="4"/>
        <v>9.9076701599999997E-2</v>
      </c>
      <c r="L36" s="4">
        <f t="shared" si="5"/>
        <v>3.3333333333333335</v>
      </c>
    </row>
    <row r="37" spans="1:12" x14ac:dyDescent="0.25">
      <c r="A37" s="1">
        <v>2</v>
      </c>
      <c r="B37" s="1">
        <v>8</v>
      </c>
      <c r="C37" s="1" t="s">
        <v>58</v>
      </c>
      <c r="D37" s="1" t="s">
        <v>59</v>
      </c>
      <c r="E37" s="1" t="s">
        <v>62</v>
      </c>
      <c r="F37" s="1">
        <v>44</v>
      </c>
      <c r="G37" s="1">
        <v>15</v>
      </c>
      <c r="H37" s="3">
        <f t="shared" si="1"/>
        <v>0.15205343999999998</v>
      </c>
      <c r="I37" s="4">
        <f t="shared" si="2"/>
        <v>0.50684479999999998</v>
      </c>
      <c r="J37" s="3">
        <f>(0.0434084982+0.0000350901*(F37^2*G37))</f>
        <v>1.0624250021999999</v>
      </c>
      <c r="K37" s="4">
        <f t="shared" si="4"/>
        <v>3.5414166739999997</v>
      </c>
      <c r="L37" s="4">
        <f t="shared" si="5"/>
        <v>3.3333333333333335</v>
      </c>
    </row>
    <row r="38" spans="1:12" x14ac:dyDescent="0.25">
      <c r="A38" s="1">
        <v>2</v>
      </c>
      <c r="B38" s="1">
        <v>9</v>
      </c>
      <c r="C38" s="1" t="s">
        <v>58</v>
      </c>
      <c r="D38" s="1" t="s">
        <v>59</v>
      </c>
      <c r="E38" s="1" t="s">
        <v>62</v>
      </c>
      <c r="F38" s="1">
        <v>42</v>
      </c>
      <c r="G38" s="1">
        <v>15</v>
      </c>
      <c r="H38" s="3">
        <f t="shared" si="1"/>
        <v>0.13854455999999998</v>
      </c>
      <c r="I38" s="4">
        <f t="shared" si="2"/>
        <v>0.46181519999999998</v>
      </c>
      <c r="J38" s="3">
        <f>(0.0434084982+0.0000350901*(F38^2*G38))</f>
        <v>0.97189254419999993</v>
      </c>
      <c r="K38" s="4">
        <f t="shared" si="4"/>
        <v>3.2396418140000001</v>
      </c>
      <c r="L38" s="4">
        <f t="shared" si="5"/>
        <v>3.3333333333333335</v>
      </c>
    </row>
    <row r="39" spans="1:12" x14ac:dyDescent="0.25">
      <c r="A39" s="1">
        <v>2</v>
      </c>
      <c r="B39" s="1">
        <v>10</v>
      </c>
      <c r="C39" s="1" t="s">
        <v>52</v>
      </c>
      <c r="D39" s="1" t="s">
        <v>57</v>
      </c>
      <c r="E39" s="1" t="s">
        <v>53</v>
      </c>
      <c r="F39" s="1">
        <v>14</v>
      </c>
      <c r="G39">
        <v>7</v>
      </c>
      <c r="H39" s="3">
        <f t="shared" si="1"/>
        <v>1.5393840000000002E-2</v>
      </c>
      <c r="I39" s="4">
        <f t="shared" si="2"/>
        <v>5.1312800000000013E-2</v>
      </c>
      <c r="J39" s="3">
        <f t="shared" si="3"/>
        <v>4.4254452079999999E-2</v>
      </c>
      <c r="K39" s="4">
        <f t="shared" si="4"/>
        <v>0.14751484026666667</v>
      </c>
      <c r="L39" s="4">
        <f t="shared" si="5"/>
        <v>3.3333333333333335</v>
      </c>
    </row>
    <row r="40" spans="1:12" x14ac:dyDescent="0.25">
      <c r="A40" s="1">
        <v>2</v>
      </c>
      <c r="B40" s="1">
        <v>11</v>
      </c>
      <c r="C40" s="1" t="s">
        <v>58</v>
      </c>
      <c r="D40" s="1" t="s">
        <v>59</v>
      </c>
      <c r="E40" s="1" t="s">
        <v>53</v>
      </c>
      <c r="F40" s="1">
        <v>15</v>
      </c>
      <c r="G40">
        <v>8</v>
      </c>
      <c r="H40" s="3">
        <f t="shared" si="1"/>
        <v>1.76715E-2</v>
      </c>
      <c r="I40" s="4">
        <f t="shared" si="2"/>
        <v>5.8904999999999999E-2</v>
      </c>
      <c r="J40" s="3">
        <f>(0.0434084982+0.0000350901*(F40^2*G40))</f>
        <v>0.10657067819999999</v>
      </c>
      <c r="K40" s="4">
        <f t="shared" si="4"/>
        <v>0.35523559399999999</v>
      </c>
      <c r="L40" s="4">
        <f t="shared" si="5"/>
        <v>3.3333333333333335</v>
      </c>
    </row>
    <row r="41" spans="1:12" x14ac:dyDescent="0.25">
      <c r="A41" s="1">
        <v>2</v>
      </c>
      <c r="B41" s="1">
        <v>12</v>
      </c>
      <c r="C41" s="1" t="s">
        <v>52</v>
      </c>
      <c r="D41" s="1" t="s">
        <v>57</v>
      </c>
      <c r="E41" s="1" t="s">
        <v>53</v>
      </c>
      <c r="F41" s="1">
        <v>17</v>
      </c>
      <c r="G41">
        <v>8</v>
      </c>
      <c r="H41" s="3">
        <f t="shared" si="1"/>
        <v>2.2698060000000003E-2</v>
      </c>
      <c r="I41" s="4">
        <f t="shared" si="2"/>
        <v>7.5660200000000011E-2</v>
      </c>
      <c r="J41" s="3">
        <f t="shared" si="3"/>
        <v>7.1143340080000006E-2</v>
      </c>
      <c r="K41" s="4">
        <f t="shared" si="4"/>
        <v>0.23714446693333335</v>
      </c>
      <c r="L41" s="4">
        <f t="shared" si="5"/>
        <v>3.3333333333333335</v>
      </c>
    </row>
    <row r="42" spans="1:12" x14ac:dyDescent="0.25">
      <c r="A42" s="1">
        <v>2</v>
      </c>
      <c r="B42" s="1">
        <v>13</v>
      </c>
      <c r="C42" s="1" t="s">
        <v>52</v>
      </c>
      <c r="D42" s="1" t="s">
        <v>57</v>
      </c>
      <c r="E42" s="1" t="s">
        <v>53</v>
      </c>
      <c r="F42" s="1">
        <v>12</v>
      </c>
      <c r="G42">
        <v>5</v>
      </c>
      <c r="H42" s="3">
        <f t="shared" si="1"/>
        <v>1.130976E-2</v>
      </c>
      <c r="I42" s="4">
        <f t="shared" si="2"/>
        <v>3.7699200000000002E-2</v>
      </c>
      <c r="J42" s="3">
        <f t="shared" si="3"/>
        <v>2.5603861679999999E-2</v>
      </c>
      <c r="K42" s="4">
        <f t="shared" si="4"/>
        <v>8.5346205600000002E-2</v>
      </c>
      <c r="L42" s="4">
        <f t="shared" si="5"/>
        <v>3.3333333333333335</v>
      </c>
    </row>
    <row r="43" spans="1:12" x14ac:dyDescent="0.25">
      <c r="A43" s="1">
        <v>2</v>
      </c>
      <c r="B43" s="1">
        <v>14</v>
      </c>
      <c r="C43" s="1" t="s">
        <v>52</v>
      </c>
      <c r="D43" s="1" t="s">
        <v>57</v>
      </c>
      <c r="E43" s="1" t="s">
        <v>54</v>
      </c>
      <c r="F43" s="1">
        <v>20</v>
      </c>
      <c r="G43">
        <v>10</v>
      </c>
      <c r="H43" s="3">
        <f t="shared" si="1"/>
        <v>3.1416000000000006E-2</v>
      </c>
      <c r="I43" s="4">
        <f t="shared" si="2"/>
        <v>0.10472000000000002</v>
      </c>
      <c r="J43" s="3">
        <f t="shared" si="3"/>
        <v>0.11942891768</v>
      </c>
      <c r="K43" s="4">
        <f t="shared" si="4"/>
        <v>0.39809639226666665</v>
      </c>
      <c r="L43" s="4">
        <f t="shared" si="5"/>
        <v>3.3333333333333335</v>
      </c>
    </row>
    <row r="44" spans="1:12" x14ac:dyDescent="0.25">
      <c r="A44" s="1">
        <v>2</v>
      </c>
      <c r="B44" s="1">
        <v>15</v>
      </c>
      <c r="C44" s="1" t="s">
        <v>58</v>
      </c>
      <c r="D44" s="1" t="s">
        <v>59</v>
      </c>
      <c r="E44" s="1" t="s">
        <v>53</v>
      </c>
      <c r="F44" s="1">
        <v>12</v>
      </c>
      <c r="G44">
        <v>6</v>
      </c>
      <c r="H44" s="3">
        <f t="shared" si="1"/>
        <v>1.130976E-2</v>
      </c>
      <c r="I44" s="4">
        <f t="shared" si="2"/>
        <v>3.7699200000000002E-2</v>
      </c>
      <c r="J44" s="3">
        <f>(0.0434084982+0.0000350901*(F44^2*G44))</f>
        <v>7.3726344599999993E-2</v>
      </c>
      <c r="K44" s="4">
        <f t="shared" si="4"/>
        <v>0.245754482</v>
      </c>
      <c r="L44" s="4">
        <f t="shared" si="5"/>
        <v>3.3333333333333335</v>
      </c>
    </row>
    <row r="45" spans="1:12" x14ac:dyDescent="0.25">
      <c r="A45" s="1">
        <v>2</v>
      </c>
      <c r="B45" s="1">
        <v>16</v>
      </c>
      <c r="C45" s="1" t="s">
        <v>52</v>
      </c>
      <c r="D45" s="1" t="s">
        <v>57</v>
      </c>
      <c r="E45" s="1" t="s">
        <v>53</v>
      </c>
      <c r="F45" s="1">
        <v>17</v>
      </c>
      <c r="G45">
        <v>8</v>
      </c>
      <c r="H45" s="3">
        <f t="shared" si="1"/>
        <v>2.2698060000000003E-2</v>
      </c>
      <c r="I45" s="4">
        <f t="shared" si="2"/>
        <v>7.5660200000000011E-2</v>
      </c>
      <c r="J45" s="3">
        <f t="shared" si="3"/>
        <v>7.1143340080000006E-2</v>
      </c>
      <c r="K45" s="4">
        <f t="shared" si="4"/>
        <v>0.23714446693333335</v>
      </c>
      <c r="L45" s="4">
        <f t="shared" si="5"/>
        <v>3.3333333333333335</v>
      </c>
    </row>
    <row r="46" spans="1:12" x14ac:dyDescent="0.25">
      <c r="A46" s="1">
        <v>2</v>
      </c>
      <c r="B46" s="1">
        <v>17</v>
      </c>
      <c r="C46" s="1" t="s">
        <v>52</v>
      </c>
      <c r="D46" s="1" t="s">
        <v>57</v>
      </c>
      <c r="E46" s="1" t="s">
        <v>53</v>
      </c>
      <c r="F46" s="1">
        <v>14</v>
      </c>
      <c r="G46">
        <v>8</v>
      </c>
      <c r="H46" s="3">
        <f t="shared" si="1"/>
        <v>1.5393840000000002E-2</v>
      </c>
      <c r="I46" s="4">
        <f t="shared" si="2"/>
        <v>5.1312800000000013E-2</v>
      </c>
      <c r="J46" s="3">
        <f t="shared" si="3"/>
        <v>4.9861071279999995E-2</v>
      </c>
      <c r="K46" s="4">
        <f t="shared" si="4"/>
        <v>0.16620357093333332</v>
      </c>
      <c r="L46" s="4">
        <f t="shared" si="5"/>
        <v>3.3333333333333335</v>
      </c>
    </row>
    <row r="47" spans="1:12" x14ac:dyDescent="0.25">
      <c r="A47" s="1">
        <v>2</v>
      </c>
      <c r="B47" s="1">
        <v>18</v>
      </c>
      <c r="C47" s="1" t="s">
        <v>52</v>
      </c>
      <c r="D47" s="1" t="s">
        <v>57</v>
      </c>
      <c r="E47" s="1" t="s">
        <v>53</v>
      </c>
      <c r="F47" s="1">
        <v>14</v>
      </c>
      <c r="G47">
        <v>7</v>
      </c>
      <c r="H47" s="3">
        <f t="shared" si="1"/>
        <v>1.5393840000000002E-2</v>
      </c>
      <c r="I47" s="4">
        <f t="shared" si="2"/>
        <v>5.1312800000000013E-2</v>
      </c>
      <c r="J47" s="3">
        <f t="shared" si="3"/>
        <v>4.4254452079999999E-2</v>
      </c>
      <c r="K47" s="4">
        <f t="shared" si="4"/>
        <v>0.14751484026666667</v>
      </c>
      <c r="L47" s="4">
        <f t="shared" si="5"/>
        <v>3.3333333333333335</v>
      </c>
    </row>
    <row r="48" spans="1:12" x14ac:dyDescent="0.25">
      <c r="A48">
        <v>3</v>
      </c>
      <c r="B48">
        <v>1</v>
      </c>
      <c r="C48" s="1" t="s">
        <v>58</v>
      </c>
      <c r="D48" s="1" t="s">
        <v>59</v>
      </c>
      <c r="E48" s="1" t="s">
        <v>53</v>
      </c>
      <c r="F48" s="1">
        <v>12</v>
      </c>
      <c r="G48">
        <v>5</v>
      </c>
      <c r="H48" s="3">
        <f t="shared" si="1"/>
        <v>1.130976E-2</v>
      </c>
      <c r="I48" s="4">
        <f t="shared" si="2"/>
        <v>3.7699200000000002E-2</v>
      </c>
      <c r="J48" s="3">
        <f>(0.0434084982+0.0000350901*(F48^2*G48))</f>
        <v>6.86733702E-2</v>
      </c>
      <c r="K48" s="4">
        <f t="shared" si="4"/>
        <v>0.22891123400000002</v>
      </c>
      <c r="L48" s="4">
        <f t="shared" si="5"/>
        <v>3.3333333333333335</v>
      </c>
    </row>
    <row r="49" spans="1:12" x14ac:dyDescent="0.25">
      <c r="A49">
        <v>3</v>
      </c>
      <c r="B49">
        <v>2</v>
      </c>
      <c r="C49" s="1" t="s">
        <v>58</v>
      </c>
      <c r="D49" s="1" t="s">
        <v>59</v>
      </c>
      <c r="E49" s="1" t="s">
        <v>53</v>
      </c>
      <c r="F49" s="1">
        <v>10</v>
      </c>
      <c r="G49">
        <v>5</v>
      </c>
      <c r="H49" s="3">
        <f t="shared" si="1"/>
        <v>7.8540000000000016E-3</v>
      </c>
      <c r="I49" s="4">
        <f t="shared" si="2"/>
        <v>2.6180000000000005E-2</v>
      </c>
      <c r="J49" s="3">
        <f>(0.0434084982+0.0000350901*(F49^2*G49))</f>
        <v>6.0953548199999999E-2</v>
      </c>
      <c r="K49" s="4">
        <f t="shared" si="4"/>
        <v>0.20317849400000002</v>
      </c>
      <c r="L49" s="4">
        <f t="shared" si="5"/>
        <v>3.3333333333333335</v>
      </c>
    </row>
    <row r="50" spans="1:12" x14ac:dyDescent="0.25">
      <c r="A50" s="1">
        <v>3</v>
      </c>
      <c r="B50" s="1">
        <v>3</v>
      </c>
      <c r="C50" s="1" t="s">
        <v>52</v>
      </c>
      <c r="D50" s="1" t="s">
        <v>57</v>
      </c>
      <c r="E50" s="1" t="s">
        <v>53</v>
      </c>
      <c r="F50" s="1">
        <v>12</v>
      </c>
      <c r="G50">
        <v>7</v>
      </c>
      <c r="H50" s="3">
        <f t="shared" si="1"/>
        <v>1.130976E-2</v>
      </c>
      <c r="I50" s="4">
        <f t="shared" si="2"/>
        <v>3.7699200000000002E-2</v>
      </c>
      <c r="J50" s="3">
        <f t="shared" si="3"/>
        <v>3.3842159279999999E-2</v>
      </c>
      <c r="K50" s="4">
        <f t="shared" si="4"/>
        <v>0.11280719760000001</v>
      </c>
      <c r="L50" s="4">
        <f t="shared" si="5"/>
        <v>3.3333333333333335</v>
      </c>
    </row>
    <row r="51" spans="1:12" x14ac:dyDescent="0.25">
      <c r="A51" s="1">
        <v>3</v>
      </c>
      <c r="B51" s="1">
        <v>4</v>
      </c>
      <c r="C51" s="1" t="s">
        <v>52</v>
      </c>
      <c r="D51" s="1" t="s">
        <v>57</v>
      </c>
      <c r="E51" s="1" t="s">
        <v>53</v>
      </c>
      <c r="F51" s="1">
        <v>10</v>
      </c>
      <c r="G51">
        <v>7</v>
      </c>
      <c r="H51" s="3">
        <f t="shared" si="1"/>
        <v>7.8540000000000016E-3</v>
      </c>
      <c r="I51" s="4">
        <f t="shared" si="2"/>
        <v>2.6180000000000005E-2</v>
      </c>
      <c r="J51" s="3">
        <f t="shared" si="3"/>
        <v>2.5031757679999999E-2</v>
      </c>
      <c r="K51" s="4">
        <f t="shared" si="4"/>
        <v>8.343919226666667E-2</v>
      </c>
      <c r="L51" s="4">
        <f t="shared" si="5"/>
        <v>3.3333333333333335</v>
      </c>
    </row>
    <row r="52" spans="1:12" x14ac:dyDescent="0.25">
      <c r="A52" s="1">
        <v>3</v>
      </c>
      <c r="B52" s="1">
        <v>5</v>
      </c>
      <c r="C52" s="1" t="s">
        <v>52</v>
      </c>
      <c r="D52" s="1" t="s">
        <v>57</v>
      </c>
      <c r="E52" s="1" t="s">
        <v>53</v>
      </c>
      <c r="F52" s="1">
        <v>12</v>
      </c>
      <c r="G52">
        <v>6</v>
      </c>
      <c r="H52" s="3">
        <f t="shared" si="1"/>
        <v>1.130976E-2</v>
      </c>
      <c r="I52" s="4">
        <f t="shared" si="2"/>
        <v>3.7699200000000002E-2</v>
      </c>
      <c r="J52" s="3">
        <f t="shared" si="3"/>
        <v>2.9723010479999999E-2</v>
      </c>
      <c r="K52" s="4">
        <f t="shared" si="4"/>
        <v>9.9076701599999997E-2</v>
      </c>
      <c r="L52" s="4">
        <f t="shared" si="5"/>
        <v>3.3333333333333335</v>
      </c>
    </row>
    <row r="53" spans="1:12" x14ac:dyDescent="0.25">
      <c r="A53" s="1">
        <v>3</v>
      </c>
      <c r="B53" s="1">
        <v>6</v>
      </c>
      <c r="C53" s="1" t="s">
        <v>52</v>
      </c>
      <c r="D53" s="1" t="s">
        <v>57</v>
      </c>
      <c r="E53" s="1" t="s">
        <v>53</v>
      </c>
      <c r="F53" s="1">
        <v>16</v>
      </c>
      <c r="G53">
        <v>7</v>
      </c>
      <c r="H53" s="3">
        <f t="shared" si="1"/>
        <v>2.0106240000000001E-2</v>
      </c>
      <c r="I53" s="4">
        <f t="shared" si="2"/>
        <v>6.7020800000000005E-2</v>
      </c>
      <c r="J53" s="3">
        <f t="shared" si="3"/>
        <v>5.6268636079999997E-2</v>
      </c>
      <c r="K53" s="4">
        <f t="shared" si="4"/>
        <v>0.18756212026666666</v>
      </c>
      <c r="L53" s="4">
        <f t="shared" si="5"/>
        <v>3.3333333333333335</v>
      </c>
    </row>
    <row r="54" spans="1:12" x14ac:dyDescent="0.25">
      <c r="A54" s="1">
        <v>3</v>
      </c>
      <c r="B54" s="1">
        <v>7</v>
      </c>
      <c r="C54" s="1" t="s">
        <v>55</v>
      </c>
      <c r="D54" s="1" t="s">
        <v>56</v>
      </c>
      <c r="E54" s="1" t="s">
        <v>60</v>
      </c>
      <c r="F54" s="1">
        <v>35</v>
      </c>
      <c r="G54">
        <v>10</v>
      </c>
      <c r="H54" s="3">
        <f t="shared" si="1"/>
        <v>9.6211499999999991E-2</v>
      </c>
      <c r="I54" s="4">
        <f t="shared" si="2"/>
        <v>0.32070499999999996</v>
      </c>
      <c r="J54" s="3">
        <f t="shared" si="3"/>
        <v>0.35542181767999997</v>
      </c>
      <c r="K54" s="4">
        <f t="shared" si="4"/>
        <v>1.1847393922666667</v>
      </c>
      <c r="L54" s="4">
        <f t="shared" si="5"/>
        <v>3.3333333333333335</v>
      </c>
    </row>
    <row r="55" spans="1:12" x14ac:dyDescent="0.25">
      <c r="A55" s="1">
        <v>3</v>
      </c>
      <c r="B55" s="1">
        <v>8</v>
      </c>
      <c r="C55" s="1" t="s">
        <v>52</v>
      </c>
      <c r="D55" s="1" t="s">
        <v>57</v>
      </c>
      <c r="E55" s="1" t="s">
        <v>53</v>
      </c>
      <c r="F55" s="1">
        <v>14</v>
      </c>
      <c r="G55">
        <v>8</v>
      </c>
      <c r="H55" s="3">
        <f t="shared" si="1"/>
        <v>1.5393840000000002E-2</v>
      </c>
      <c r="I55" s="4">
        <f t="shared" si="2"/>
        <v>5.1312800000000013E-2</v>
      </c>
      <c r="J55" s="3">
        <f t="shared" si="3"/>
        <v>4.9861071279999995E-2</v>
      </c>
      <c r="K55" s="4">
        <f t="shared" si="4"/>
        <v>0.16620357093333332</v>
      </c>
      <c r="L55" s="4">
        <f t="shared" si="5"/>
        <v>3.3333333333333335</v>
      </c>
    </row>
    <row r="56" spans="1:12" x14ac:dyDescent="0.25">
      <c r="A56" s="1">
        <v>3</v>
      </c>
      <c r="B56" s="1">
        <v>9</v>
      </c>
      <c r="C56" s="1" t="s">
        <v>52</v>
      </c>
      <c r="D56" s="1" t="s">
        <v>57</v>
      </c>
      <c r="E56" s="1" t="s">
        <v>53</v>
      </c>
      <c r="F56" s="1">
        <v>15</v>
      </c>
      <c r="G56">
        <v>8</v>
      </c>
      <c r="H56" s="3">
        <f t="shared" si="1"/>
        <v>1.76715E-2</v>
      </c>
      <c r="I56" s="4">
        <f t="shared" si="2"/>
        <v>5.8904999999999999E-2</v>
      </c>
      <c r="J56" s="3">
        <f t="shared" si="3"/>
        <v>5.6497477679999998E-2</v>
      </c>
      <c r="K56" s="4">
        <f t="shared" si="4"/>
        <v>0.1883249256</v>
      </c>
      <c r="L56" s="4">
        <f t="shared" si="5"/>
        <v>3.3333333333333335</v>
      </c>
    </row>
    <row r="57" spans="1:12" x14ac:dyDescent="0.25">
      <c r="A57" s="1">
        <v>3</v>
      </c>
      <c r="B57" s="1">
        <v>10</v>
      </c>
      <c r="C57" s="1" t="s">
        <v>52</v>
      </c>
      <c r="D57" s="1" t="s">
        <v>57</v>
      </c>
      <c r="E57" s="1" t="s">
        <v>53</v>
      </c>
      <c r="F57" s="1">
        <v>10</v>
      </c>
      <c r="G57">
        <v>6</v>
      </c>
      <c r="H57" s="3">
        <f t="shared" si="1"/>
        <v>7.8540000000000016E-3</v>
      </c>
      <c r="I57" s="4">
        <f t="shared" si="2"/>
        <v>2.6180000000000005E-2</v>
      </c>
      <c r="J57" s="3">
        <f t="shared" si="3"/>
        <v>2.2171237680000001E-2</v>
      </c>
      <c r="K57" s="4">
        <f t="shared" si="4"/>
        <v>7.3904125600000009E-2</v>
      </c>
      <c r="L57" s="4">
        <f t="shared" si="5"/>
        <v>3.3333333333333335</v>
      </c>
    </row>
    <row r="58" spans="1:12" x14ac:dyDescent="0.25">
      <c r="A58" s="1">
        <v>3</v>
      </c>
      <c r="B58" s="1">
        <v>11</v>
      </c>
      <c r="C58" s="1" t="s">
        <v>55</v>
      </c>
      <c r="D58" s="1" t="s">
        <v>56</v>
      </c>
      <c r="E58" s="1" t="s">
        <v>54</v>
      </c>
      <c r="F58" s="1">
        <v>28</v>
      </c>
      <c r="G58">
        <v>10</v>
      </c>
      <c r="H58" s="3">
        <f t="shared" si="1"/>
        <v>6.157536000000001E-2</v>
      </c>
      <c r="I58" s="4">
        <f t="shared" si="2"/>
        <v>0.20525120000000005</v>
      </c>
      <c r="J58" s="3">
        <f t="shared" si="3"/>
        <v>0.22927288567999998</v>
      </c>
      <c r="K58" s="4">
        <f t="shared" si="4"/>
        <v>0.76424295226666661</v>
      </c>
      <c r="L58" s="4">
        <f t="shared" si="5"/>
        <v>3.3333333333333335</v>
      </c>
    </row>
    <row r="59" spans="1:12" x14ac:dyDescent="0.25">
      <c r="A59" s="1">
        <v>3</v>
      </c>
      <c r="B59" s="1">
        <v>12</v>
      </c>
      <c r="C59" s="1" t="s">
        <v>52</v>
      </c>
      <c r="D59" s="1" t="s">
        <v>57</v>
      </c>
      <c r="E59" s="1" t="s">
        <v>53</v>
      </c>
      <c r="F59" s="1">
        <v>12</v>
      </c>
      <c r="G59">
        <v>6</v>
      </c>
      <c r="H59" s="3">
        <f t="shared" si="1"/>
        <v>1.130976E-2</v>
      </c>
      <c r="I59" s="4">
        <f t="shared" si="2"/>
        <v>3.7699200000000002E-2</v>
      </c>
      <c r="J59" s="3">
        <f t="shared" si="3"/>
        <v>2.9723010479999999E-2</v>
      </c>
      <c r="K59" s="4">
        <f t="shared" si="4"/>
        <v>9.9076701599999997E-2</v>
      </c>
      <c r="L59" s="4">
        <f t="shared" si="5"/>
        <v>3.3333333333333335</v>
      </c>
    </row>
    <row r="60" spans="1:12" x14ac:dyDescent="0.25">
      <c r="A60" s="1">
        <v>3</v>
      </c>
      <c r="B60" s="1">
        <v>13</v>
      </c>
      <c r="C60" s="1" t="s">
        <v>52</v>
      </c>
      <c r="D60" s="1" t="s">
        <v>57</v>
      </c>
      <c r="E60" s="1" t="s">
        <v>53</v>
      </c>
      <c r="F60" s="1">
        <v>14</v>
      </c>
      <c r="G60">
        <v>7</v>
      </c>
      <c r="H60" s="3">
        <f t="shared" si="1"/>
        <v>1.5393840000000002E-2</v>
      </c>
      <c r="I60" s="4">
        <f t="shared" si="2"/>
        <v>5.1312800000000013E-2</v>
      </c>
      <c r="J60" s="3">
        <f t="shared" si="3"/>
        <v>4.4254452079999999E-2</v>
      </c>
      <c r="K60" s="4">
        <f t="shared" si="4"/>
        <v>0.14751484026666667</v>
      </c>
      <c r="L60" s="4">
        <f t="shared" si="5"/>
        <v>3.3333333333333335</v>
      </c>
    </row>
    <row r="61" spans="1:12" x14ac:dyDescent="0.25">
      <c r="A61" s="1">
        <v>3</v>
      </c>
      <c r="B61" s="1">
        <v>14</v>
      </c>
      <c r="C61" s="1" t="s">
        <v>52</v>
      </c>
      <c r="D61" s="1" t="s">
        <v>57</v>
      </c>
      <c r="E61" s="1" t="s">
        <v>53</v>
      </c>
      <c r="F61" s="1">
        <v>12</v>
      </c>
      <c r="G61">
        <v>6</v>
      </c>
      <c r="H61" s="3">
        <f t="shared" si="1"/>
        <v>1.130976E-2</v>
      </c>
      <c r="I61" s="4">
        <f t="shared" si="2"/>
        <v>3.7699200000000002E-2</v>
      </c>
      <c r="J61" s="3">
        <f t="shared" si="3"/>
        <v>2.9723010479999999E-2</v>
      </c>
      <c r="K61" s="4">
        <f t="shared" si="4"/>
        <v>9.9076701599999997E-2</v>
      </c>
      <c r="L61" s="4">
        <f t="shared" si="5"/>
        <v>3.3333333333333335</v>
      </c>
    </row>
    <row r="62" spans="1:12" x14ac:dyDescent="0.25">
      <c r="A62" s="1">
        <v>3</v>
      </c>
      <c r="B62" s="1">
        <v>15</v>
      </c>
      <c r="C62" s="1" t="s">
        <v>52</v>
      </c>
      <c r="D62" s="1" t="s">
        <v>57</v>
      </c>
      <c r="E62" s="1" t="s">
        <v>53</v>
      </c>
      <c r="F62" s="1">
        <v>13</v>
      </c>
      <c r="G62">
        <v>7</v>
      </c>
      <c r="H62" s="3">
        <f t="shared" si="1"/>
        <v>1.3273260000000002E-2</v>
      </c>
      <c r="I62" s="4">
        <f t="shared" si="2"/>
        <v>4.4244200000000011E-2</v>
      </c>
      <c r="J62" s="3">
        <f t="shared" si="3"/>
        <v>3.8848069280000001E-2</v>
      </c>
      <c r="K62" s="4">
        <f t="shared" si="4"/>
        <v>0.12949356426666667</v>
      </c>
      <c r="L62" s="4">
        <f t="shared" si="5"/>
        <v>3.3333333333333335</v>
      </c>
    </row>
    <row r="63" spans="1:12" x14ac:dyDescent="0.25">
      <c r="A63" s="1">
        <v>3</v>
      </c>
      <c r="B63" s="1">
        <v>16</v>
      </c>
      <c r="C63" s="1" t="s">
        <v>52</v>
      </c>
      <c r="D63" s="1" t="s">
        <v>57</v>
      </c>
      <c r="E63" s="1" t="s">
        <v>53</v>
      </c>
      <c r="F63" s="1">
        <v>14</v>
      </c>
      <c r="G63">
        <v>7</v>
      </c>
      <c r="H63" s="3">
        <f t="shared" si="1"/>
        <v>1.5393840000000002E-2</v>
      </c>
      <c r="I63" s="4">
        <f t="shared" si="2"/>
        <v>5.1312800000000013E-2</v>
      </c>
      <c r="J63" s="3">
        <f t="shared" si="3"/>
        <v>4.4254452079999999E-2</v>
      </c>
      <c r="K63" s="4">
        <f t="shared" si="4"/>
        <v>0.14751484026666667</v>
      </c>
      <c r="L63" s="4">
        <f t="shared" si="5"/>
        <v>3.3333333333333335</v>
      </c>
    </row>
    <row r="64" spans="1:12" x14ac:dyDescent="0.25">
      <c r="A64" s="1">
        <v>3</v>
      </c>
      <c r="B64" s="1">
        <v>17</v>
      </c>
      <c r="C64" s="1" t="s">
        <v>52</v>
      </c>
      <c r="D64" s="1" t="s">
        <v>57</v>
      </c>
      <c r="E64" s="1" t="s">
        <v>53</v>
      </c>
      <c r="F64" s="1">
        <v>16</v>
      </c>
      <c r="G64">
        <v>8</v>
      </c>
      <c r="H64" s="3">
        <f t="shared" si="1"/>
        <v>2.0106240000000001E-2</v>
      </c>
      <c r="I64" s="4">
        <f t="shared" si="2"/>
        <v>6.7020800000000005E-2</v>
      </c>
      <c r="J64" s="3">
        <f t="shared" si="3"/>
        <v>6.3591567279999997E-2</v>
      </c>
      <c r="K64" s="4">
        <f t="shared" si="4"/>
        <v>0.21197189093333332</v>
      </c>
      <c r="L64" s="4">
        <f t="shared" si="5"/>
        <v>3.3333333333333335</v>
      </c>
    </row>
    <row r="65" spans="1:12" x14ac:dyDescent="0.25">
      <c r="A65" s="1">
        <v>3</v>
      </c>
      <c r="B65" s="1">
        <v>18</v>
      </c>
      <c r="C65" s="1" t="s">
        <v>52</v>
      </c>
      <c r="D65" s="1" t="s">
        <v>57</v>
      </c>
      <c r="E65" s="1" t="s">
        <v>54</v>
      </c>
      <c r="F65" s="1">
        <v>20</v>
      </c>
      <c r="G65">
        <v>9</v>
      </c>
      <c r="H65" s="3">
        <f t="shared" si="1"/>
        <v>3.1416000000000006E-2</v>
      </c>
      <c r="I65" s="4">
        <f t="shared" si="2"/>
        <v>0.10472000000000002</v>
      </c>
      <c r="J65" s="3">
        <f t="shared" si="3"/>
        <v>0.10798683768</v>
      </c>
      <c r="K65" s="4">
        <f t="shared" si="4"/>
        <v>0.35995612560000001</v>
      </c>
      <c r="L65" s="4">
        <f t="shared" si="5"/>
        <v>3.3333333333333335</v>
      </c>
    </row>
    <row r="66" spans="1:12" x14ac:dyDescent="0.25">
      <c r="A66" s="1">
        <v>3</v>
      </c>
      <c r="B66" s="1">
        <v>19</v>
      </c>
      <c r="C66" s="1" t="s">
        <v>52</v>
      </c>
      <c r="D66" s="1" t="s">
        <v>57</v>
      </c>
      <c r="E66" s="1" t="s">
        <v>53</v>
      </c>
      <c r="F66" s="1">
        <v>19</v>
      </c>
      <c r="G66">
        <v>8</v>
      </c>
      <c r="H66" s="3">
        <f t="shared" si="1"/>
        <v>2.835294E-2</v>
      </c>
      <c r="I66" s="4">
        <f t="shared" si="2"/>
        <v>9.4509800000000005E-2</v>
      </c>
      <c r="J66" s="3">
        <f t="shared" si="3"/>
        <v>8.7619935280000005E-2</v>
      </c>
      <c r="K66" s="4">
        <f t="shared" si="4"/>
        <v>0.29206645093333339</v>
      </c>
      <c r="L66" s="4">
        <f t="shared" si="5"/>
        <v>3.3333333333333335</v>
      </c>
    </row>
    <row r="67" spans="1:12" s="1" customFormat="1" x14ac:dyDescent="0.25">
      <c r="A67" s="1">
        <v>3</v>
      </c>
      <c r="B67" s="1">
        <v>20</v>
      </c>
      <c r="C67" s="1" t="s">
        <v>52</v>
      </c>
      <c r="D67" s="1" t="s">
        <v>57</v>
      </c>
      <c r="E67" s="1" t="s">
        <v>54</v>
      </c>
      <c r="F67" s="1">
        <v>21</v>
      </c>
      <c r="G67" s="1">
        <v>10</v>
      </c>
      <c r="H67" s="3">
        <f t="shared" ref="H67:H130" si="6">0.7854*(F67/100)^2</f>
        <v>3.4636139999999996E-2</v>
      </c>
      <c r="I67" s="4">
        <f t="shared" ref="I67:I130" si="7">H67*1/0.3</f>
        <v>0.1154538</v>
      </c>
      <c r="J67" s="3">
        <f t="shared" ref="J67:J130" si="8">(0.00500811768+0.0000286052*(F67^2*G67))</f>
        <v>0.13115704968</v>
      </c>
      <c r="K67" s="4">
        <f t="shared" ref="K67:K130" si="9">J67/0.3</f>
        <v>0.43719016560000001</v>
      </c>
      <c r="L67" s="4">
        <f t="shared" ref="L67:L130" si="10">1*1/0.3</f>
        <v>3.3333333333333335</v>
      </c>
    </row>
    <row r="68" spans="1:12" x14ac:dyDescent="0.25">
      <c r="A68" s="1">
        <v>3</v>
      </c>
      <c r="B68" s="1">
        <v>21</v>
      </c>
      <c r="C68" s="1" t="s">
        <v>58</v>
      </c>
      <c r="D68" s="1" t="s">
        <v>59</v>
      </c>
      <c r="E68" s="1" t="s">
        <v>53</v>
      </c>
      <c r="F68" s="1">
        <v>13</v>
      </c>
      <c r="G68">
        <v>7</v>
      </c>
      <c r="H68" s="3">
        <f t="shared" si="6"/>
        <v>1.3273260000000002E-2</v>
      </c>
      <c r="I68" s="4">
        <f t="shared" si="7"/>
        <v>4.4244200000000011E-2</v>
      </c>
      <c r="J68" s="3">
        <f>(0.0434084982+0.0000350901*(F68^2*G68))</f>
        <v>8.4920086499999992E-2</v>
      </c>
      <c r="K68" s="4">
        <f t="shared" si="9"/>
        <v>0.28306695500000001</v>
      </c>
      <c r="L68" s="4">
        <f t="shared" si="10"/>
        <v>3.3333333333333335</v>
      </c>
    </row>
    <row r="69" spans="1:12" x14ac:dyDescent="0.25">
      <c r="A69" s="1">
        <v>3</v>
      </c>
      <c r="B69" s="1">
        <v>22</v>
      </c>
      <c r="C69" s="1" t="s">
        <v>58</v>
      </c>
      <c r="D69" s="1" t="s">
        <v>59</v>
      </c>
      <c r="E69" s="1" t="s">
        <v>53</v>
      </c>
      <c r="F69" s="1">
        <v>15</v>
      </c>
      <c r="G69">
        <v>6</v>
      </c>
      <c r="H69" s="3">
        <f t="shared" si="6"/>
        <v>1.76715E-2</v>
      </c>
      <c r="I69" s="4">
        <f t="shared" si="7"/>
        <v>5.8904999999999999E-2</v>
      </c>
      <c r="J69" s="3">
        <f t="shared" ref="J69:J70" si="11">(0.0434084982+0.0000350901*(F69^2*G69))</f>
        <v>9.0780133200000002E-2</v>
      </c>
      <c r="K69" s="4">
        <f t="shared" si="9"/>
        <v>0.30260044400000002</v>
      </c>
      <c r="L69" s="4">
        <f t="shared" si="10"/>
        <v>3.3333333333333335</v>
      </c>
    </row>
    <row r="70" spans="1:12" x14ac:dyDescent="0.25">
      <c r="A70" s="1">
        <v>4</v>
      </c>
      <c r="B70" s="1">
        <v>1</v>
      </c>
      <c r="C70" s="1" t="s">
        <v>58</v>
      </c>
      <c r="D70" s="1" t="s">
        <v>59</v>
      </c>
      <c r="E70" s="1" t="s">
        <v>62</v>
      </c>
      <c r="F70" s="1">
        <v>42</v>
      </c>
      <c r="G70" s="1">
        <v>19</v>
      </c>
      <c r="H70" s="3">
        <f t="shared" si="6"/>
        <v>0.13854455999999998</v>
      </c>
      <c r="I70" s="4">
        <f t="shared" si="7"/>
        <v>0.46181519999999998</v>
      </c>
      <c r="J70" s="3">
        <f t="shared" si="11"/>
        <v>1.2194882897999999</v>
      </c>
      <c r="K70" s="4">
        <f t="shared" si="9"/>
        <v>4.0649609660000001</v>
      </c>
      <c r="L70" s="4">
        <f t="shared" si="10"/>
        <v>3.3333333333333335</v>
      </c>
    </row>
    <row r="71" spans="1:12" x14ac:dyDescent="0.25">
      <c r="A71" s="1">
        <v>4</v>
      </c>
      <c r="B71">
        <v>2</v>
      </c>
      <c r="C71" s="1" t="s">
        <v>52</v>
      </c>
      <c r="D71" s="1" t="s">
        <v>57</v>
      </c>
      <c r="E71" s="1" t="s">
        <v>53</v>
      </c>
      <c r="F71">
        <v>18</v>
      </c>
      <c r="G71">
        <v>8</v>
      </c>
      <c r="H71" s="3">
        <f t="shared" si="6"/>
        <v>2.5446959999999998E-2</v>
      </c>
      <c r="I71" s="4">
        <f t="shared" si="7"/>
        <v>8.4823200000000001E-2</v>
      </c>
      <c r="J71" s="3">
        <f t="shared" si="8"/>
        <v>7.9152796080000004E-2</v>
      </c>
      <c r="K71" s="4">
        <f t="shared" si="9"/>
        <v>0.26384265360000003</v>
      </c>
      <c r="L71" s="4">
        <f t="shared" si="10"/>
        <v>3.3333333333333335</v>
      </c>
    </row>
    <row r="72" spans="1:12" x14ac:dyDescent="0.25">
      <c r="A72" s="1">
        <v>4</v>
      </c>
      <c r="B72">
        <v>3</v>
      </c>
      <c r="C72" s="1" t="s">
        <v>52</v>
      </c>
      <c r="D72" s="1" t="s">
        <v>57</v>
      </c>
      <c r="E72" s="1" t="s">
        <v>54</v>
      </c>
      <c r="F72">
        <v>20</v>
      </c>
      <c r="G72">
        <v>8</v>
      </c>
      <c r="H72" s="3">
        <f t="shared" si="6"/>
        <v>3.1416000000000006E-2</v>
      </c>
      <c r="I72" s="4">
        <f t="shared" si="7"/>
        <v>0.10472000000000002</v>
      </c>
      <c r="J72" s="3">
        <f t="shared" si="8"/>
        <v>9.6544757679999982E-2</v>
      </c>
      <c r="K72" s="4">
        <f t="shared" si="9"/>
        <v>0.32181585893333331</v>
      </c>
      <c r="L72" s="4">
        <f t="shared" si="10"/>
        <v>3.3333333333333335</v>
      </c>
    </row>
    <row r="73" spans="1:12" x14ac:dyDescent="0.25">
      <c r="A73" s="1">
        <v>4</v>
      </c>
      <c r="B73">
        <v>4</v>
      </c>
      <c r="C73" s="1" t="s">
        <v>52</v>
      </c>
      <c r="D73" s="1" t="s">
        <v>57</v>
      </c>
      <c r="E73" s="1" t="s">
        <v>53</v>
      </c>
      <c r="F73">
        <v>19</v>
      </c>
      <c r="G73">
        <v>8</v>
      </c>
      <c r="H73" s="3">
        <f t="shared" si="6"/>
        <v>2.835294E-2</v>
      </c>
      <c r="I73" s="4">
        <f t="shared" si="7"/>
        <v>9.4509800000000005E-2</v>
      </c>
      <c r="J73" s="3">
        <f t="shared" si="8"/>
        <v>8.7619935280000005E-2</v>
      </c>
      <c r="K73" s="4">
        <f t="shared" si="9"/>
        <v>0.29206645093333339</v>
      </c>
      <c r="L73" s="4">
        <f t="shared" si="10"/>
        <v>3.3333333333333335</v>
      </c>
    </row>
    <row r="74" spans="1:12" x14ac:dyDescent="0.25">
      <c r="A74" s="1">
        <v>4</v>
      </c>
      <c r="B74" s="1">
        <v>5</v>
      </c>
      <c r="C74" s="1" t="s">
        <v>52</v>
      </c>
      <c r="D74" s="1" t="s">
        <v>57</v>
      </c>
      <c r="E74" s="1" t="s">
        <v>53</v>
      </c>
      <c r="F74">
        <v>18</v>
      </c>
      <c r="G74">
        <v>8</v>
      </c>
      <c r="H74" s="3">
        <f t="shared" si="6"/>
        <v>2.5446959999999998E-2</v>
      </c>
      <c r="I74" s="4">
        <f t="shared" si="7"/>
        <v>8.4823200000000001E-2</v>
      </c>
      <c r="J74" s="3">
        <f t="shared" si="8"/>
        <v>7.9152796080000004E-2</v>
      </c>
      <c r="K74" s="4">
        <f t="shared" si="9"/>
        <v>0.26384265360000003</v>
      </c>
      <c r="L74" s="4">
        <f t="shared" si="10"/>
        <v>3.3333333333333335</v>
      </c>
    </row>
    <row r="75" spans="1:12" x14ac:dyDescent="0.25">
      <c r="A75" s="1">
        <v>4</v>
      </c>
      <c r="B75" s="1">
        <v>6</v>
      </c>
      <c r="C75" s="1" t="s">
        <v>52</v>
      </c>
      <c r="D75" s="1" t="s">
        <v>57</v>
      </c>
      <c r="E75" s="1" t="s">
        <v>53</v>
      </c>
      <c r="F75">
        <v>17</v>
      </c>
      <c r="G75">
        <v>7</v>
      </c>
      <c r="H75" s="3">
        <f t="shared" si="6"/>
        <v>2.2698060000000003E-2</v>
      </c>
      <c r="I75" s="4">
        <f t="shared" si="7"/>
        <v>7.5660200000000011E-2</v>
      </c>
      <c r="J75" s="3">
        <f t="shared" si="8"/>
        <v>6.2876437280000003E-2</v>
      </c>
      <c r="K75" s="4">
        <f t="shared" si="9"/>
        <v>0.20958812426666668</v>
      </c>
      <c r="L75" s="4">
        <f t="shared" si="10"/>
        <v>3.3333333333333335</v>
      </c>
    </row>
    <row r="76" spans="1:12" x14ac:dyDescent="0.25">
      <c r="A76" s="1">
        <v>4</v>
      </c>
      <c r="B76" s="1">
        <v>7</v>
      </c>
      <c r="C76" s="1" t="s">
        <v>52</v>
      </c>
      <c r="D76" s="1" t="s">
        <v>57</v>
      </c>
      <c r="E76" s="1" t="s">
        <v>53</v>
      </c>
      <c r="F76">
        <v>15</v>
      </c>
      <c r="G76">
        <v>6</v>
      </c>
      <c r="H76" s="3">
        <f t="shared" si="6"/>
        <v>1.76715E-2</v>
      </c>
      <c r="I76" s="4">
        <f t="shared" si="7"/>
        <v>5.8904999999999999E-2</v>
      </c>
      <c r="J76" s="3">
        <f t="shared" si="8"/>
        <v>4.3625137679999995E-2</v>
      </c>
      <c r="K76" s="4">
        <f t="shared" si="9"/>
        <v>0.1454171256</v>
      </c>
      <c r="L76" s="4">
        <f t="shared" si="10"/>
        <v>3.3333333333333335</v>
      </c>
    </row>
    <row r="77" spans="1:12" x14ac:dyDescent="0.25">
      <c r="A77" s="1">
        <v>4</v>
      </c>
      <c r="B77" s="1">
        <v>8</v>
      </c>
      <c r="C77" s="1" t="s">
        <v>52</v>
      </c>
      <c r="D77" s="1" t="s">
        <v>57</v>
      </c>
      <c r="E77" s="1" t="s">
        <v>53</v>
      </c>
      <c r="F77">
        <v>10</v>
      </c>
      <c r="G77">
        <v>5</v>
      </c>
      <c r="H77" s="3">
        <f t="shared" si="6"/>
        <v>7.8540000000000016E-3</v>
      </c>
      <c r="I77" s="4">
        <f t="shared" si="7"/>
        <v>2.6180000000000005E-2</v>
      </c>
      <c r="J77" s="3">
        <f t="shared" si="8"/>
        <v>1.9310717679999999E-2</v>
      </c>
      <c r="K77" s="4">
        <f t="shared" si="9"/>
        <v>6.4369058933333334E-2</v>
      </c>
      <c r="L77" s="4">
        <f t="shared" si="10"/>
        <v>3.3333333333333335</v>
      </c>
    </row>
    <row r="78" spans="1:12" x14ac:dyDescent="0.25">
      <c r="A78" s="1">
        <v>4</v>
      </c>
      <c r="B78" s="1">
        <v>9</v>
      </c>
      <c r="C78" s="1" t="s">
        <v>52</v>
      </c>
      <c r="D78" s="1" t="s">
        <v>57</v>
      </c>
      <c r="E78" s="1" t="s">
        <v>53</v>
      </c>
      <c r="F78">
        <v>13</v>
      </c>
      <c r="G78">
        <v>6</v>
      </c>
      <c r="H78" s="3">
        <f t="shared" si="6"/>
        <v>1.3273260000000002E-2</v>
      </c>
      <c r="I78" s="4">
        <f t="shared" si="7"/>
        <v>4.4244200000000011E-2</v>
      </c>
      <c r="J78" s="3">
        <f t="shared" si="8"/>
        <v>3.401379048E-2</v>
      </c>
      <c r="K78" s="4">
        <f t="shared" si="9"/>
        <v>0.11337930160000001</v>
      </c>
      <c r="L78" s="4">
        <f t="shared" si="10"/>
        <v>3.3333333333333335</v>
      </c>
    </row>
    <row r="79" spans="1:12" x14ac:dyDescent="0.25">
      <c r="A79" s="1">
        <v>4</v>
      </c>
      <c r="B79" s="1">
        <v>10</v>
      </c>
      <c r="C79" s="1" t="s">
        <v>58</v>
      </c>
      <c r="D79" s="1" t="s">
        <v>59</v>
      </c>
      <c r="E79" s="1" t="s">
        <v>53</v>
      </c>
      <c r="F79">
        <v>16</v>
      </c>
      <c r="G79">
        <v>7</v>
      </c>
      <c r="H79" s="3">
        <f t="shared" si="6"/>
        <v>2.0106240000000001E-2</v>
      </c>
      <c r="I79" s="4">
        <f t="shared" si="7"/>
        <v>6.7020800000000005E-2</v>
      </c>
      <c r="J79" s="3">
        <f>(0.0434084982+0.0000350901*(F79^2*G79))</f>
        <v>0.1062899574</v>
      </c>
      <c r="K79" s="4">
        <f t="shared" si="9"/>
        <v>0.35429985800000002</v>
      </c>
      <c r="L79" s="4">
        <f t="shared" si="10"/>
        <v>3.3333333333333335</v>
      </c>
    </row>
    <row r="80" spans="1:12" x14ac:dyDescent="0.25">
      <c r="A80" s="1">
        <v>4</v>
      </c>
      <c r="B80" s="1">
        <v>11</v>
      </c>
      <c r="C80" s="1" t="s">
        <v>58</v>
      </c>
      <c r="D80" s="1" t="s">
        <v>59</v>
      </c>
      <c r="E80" s="1" t="s">
        <v>53</v>
      </c>
      <c r="F80">
        <v>10</v>
      </c>
      <c r="G80">
        <v>5</v>
      </c>
      <c r="H80" s="3">
        <f t="shared" si="6"/>
        <v>7.8540000000000016E-3</v>
      </c>
      <c r="I80" s="4">
        <f t="shared" si="7"/>
        <v>2.6180000000000005E-2</v>
      </c>
      <c r="J80" s="3">
        <f>(0.0434084982+0.0000350901*(F80^2*G80))</f>
        <v>6.0953548199999999E-2</v>
      </c>
      <c r="K80" s="4">
        <f t="shared" si="9"/>
        <v>0.20317849400000002</v>
      </c>
      <c r="L80" s="4">
        <f t="shared" si="10"/>
        <v>3.3333333333333335</v>
      </c>
    </row>
    <row r="81" spans="1:12" x14ac:dyDescent="0.25">
      <c r="A81" s="1">
        <v>4</v>
      </c>
      <c r="B81" s="1">
        <v>12</v>
      </c>
      <c r="C81" s="1" t="s">
        <v>52</v>
      </c>
      <c r="D81" s="1" t="s">
        <v>57</v>
      </c>
      <c r="E81" s="1" t="s">
        <v>53</v>
      </c>
      <c r="F81">
        <v>15</v>
      </c>
      <c r="G81">
        <v>7</v>
      </c>
      <c r="H81" s="3">
        <f t="shared" si="6"/>
        <v>1.76715E-2</v>
      </c>
      <c r="I81" s="4">
        <f t="shared" si="7"/>
        <v>5.8904999999999999E-2</v>
      </c>
      <c r="J81" s="3">
        <f t="shared" si="8"/>
        <v>5.006130768E-2</v>
      </c>
      <c r="K81" s="4">
        <f t="shared" si="9"/>
        <v>0.1668710256</v>
      </c>
      <c r="L81" s="4">
        <f t="shared" si="10"/>
        <v>3.3333333333333335</v>
      </c>
    </row>
    <row r="82" spans="1:12" x14ac:dyDescent="0.25">
      <c r="A82" s="1">
        <v>4</v>
      </c>
      <c r="B82" s="1">
        <v>13</v>
      </c>
      <c r="C82" s="1" t="s">
        <v>52</v>
      </c>
      <c r="D82" s="1" t="s">
        <v>57</v>
      </c>
      <c r="E82" s="1" t="s">
        <v>53</v>
      </c>
      <c r="F82">
        <v>17</v>
      </c>
      <c r="G82">
        <v>8</v>
      </c>
      <c r="H82" s="3">
        <f t="shared" si="6"/>
        <v>2.2698060000000003E-2</v>
      </c>
      <c r="I82" s="4">
        <f t="shared" si="7"/>
        <v>7.5660200000000011E-2</v>
      </c>
      <c r="J82" s="3">
        <f t="shared" si="8"/>
        <v>7.1143340080000006E-2</v>
      </c>
      <c r="K82" s="4">
        <f t="shared" si="9"/>
        <v>0.23714446693333335</v>
      </c>
      <c r="L82" s="4">
        <f t="shared" si="10"/>
        <v>3.3333333333333335</v>
      </c>
    </row>
    <row r="83" spans="1:12" x14ac:dyDescent="0.25">
      <c r="A83" s="1">
        <v>4</v>
      </c>
      <c r="B83" s="1">
        <v>14</v>
      </c>
      <c r="C83" s="1" t="s">
        <v>52</v>
      </c>
      <c r="D83" s="1" t="s">
        <v>57</v>
      </c>
      <c r="E83" s="1" t="s">
        <v>53</v>
      </c>
      <c r="F83">
        <v>16</v>
      </c>
      <c r="G83">
        <v>7</v>
      </c>
      <c r="H83" s="3">
        <f t="shared" si="6"/>
        <v>2.0106240000000001E-2</v>
      </c>
      <c r="I83" s="4">
        <f t="shared" si="7"/>
        <v>6.7020800000000005E-2</v>
      </c>
      <c r="J83" s="3">
        <f t="shared" si="8"/>
        <v>5.6268636079999997E-2</v>
      </c>
      <c r="K83" s="4">
        <f t="shared" si="9"/>
        <v>0.18756212026666666</v>
      </c>
      <c r="L83" s="4">
        <f t="shared" si="10"/>
        <v>3.3333333333333335</v>
      </c>
    </row>
    <row r="84" spans="1:12" x14ac:dyDescent="0.25">
      <c r="A84" s="1">
        <v>4</v>
      </c>
      <c r="B84" s="1">
        <v>15</v>
      </c>
      <c r="C84" s="1" t="s">
        <v>52</v>
      </c>
      <c r="D84" s="1" t="s">
        <v>57</v>
      </c>
      <c r="E84" s="1" t="s">
        <v>53</v>
      </c>
      <c r="F84">
        <v>18</v>
      </c>
      <c r="G84">
        <v>8</v>
      </c>
      <c r="H84" s="3">
        <f t="shared" si="6"/>
        <v>2.5446959999999998E-2</v>
      </c>
      <c r="I84" s="4">
        <f t="shared" si="7"/>
        <v>8.4823200000000001E-2</v>
      </c>
      <c r="J84" s="3">
        <f t="shared" si="8"/>
        <v>7.9152796080000004E-2</v>
      </c>
      <c r="K84" s="4">
        <f t="shared" si="9"/>
        <v>0.26384265360000003</v>
      </c>
      <c r="L84" s="4">
        <f t="shared" si="10"/>
        <v>3.3333333333333335</v>
      </c>
    </row>
    <row r="85" spans="1:12" x14ac:dyDescent="0.25">
      <c r="A85" s="1">
        <v>4</v>
      </c>
      <c r="B85" s="1">
        <v>16</v>
      </c>
      <c r="C85" s="1" t="s">
        <v>52</v>
      </c>
      <c r="D85" s="1" t="s">
        <v>57</v>
      </c>
      <c r="E85" s="1" t="s">
        <v>53</v>
      </c>
      <c r="F85">
        <v>14</v>
      </c>
      <c r="G85">
        <v>6</v>
      </c>
      <c r="H85" s="3">
        <f t="shared" si="6"/>
        <v>1.5393840000000002E-2</v>
      </c>
      <c r="I85" s="4">
        <f t="shared" si="7"/>
        <v>5.1312800000000013E-2</v>
      </c>
      <c r="J85" s="3">
        <f t="shared" si="8"/>
        <v>3.8647832879999997E-2</v>
      </c>
      <c r="K85" s="4">
        <f t="shared" si="9"/>
        <v>0.12882610959999999</v>
      </c>
      <c r="L85" s="4">
        <f t="shared" si="10"/>
        <v>3.3333333333333335</v>
      </c>
    </row>
    <row r="86" spans="1:12" x14ac:dyDescent="0.25">
      <c r="A86" s="1">
        <v>4</v>
      </c>
      <c r="B86" s="1">
        <v>17</v>
      </c>
      <c r="C86" s="1" t="s">
        <v>52</v>
      </c>
      <c r="D86" s="1" t="s">
        <v>57</v>
      </c>
      <c r="E86" s="1" t="s">
        <v>53</v>
      </c>
      <c r="F86">
        <v>15</v>
      </c>
      <c r="G86">
        <v>7</v>
      </c>
      <c r="H86" s="3">
        <f t="shared" si="6"/>
        <v>1.76715E-2</v>
      </c>
      <c r="I86" s="4">
        <f t="shared" si="7"/>
        <v>5.8904999999999999E-2</v>
      </c>
      <c r="J86" s="3">
        <f t="shared" si="8"/>
        <v>5.006130768E-2</v>
      </c>
      <c r="K86" s="4">
        <f t="shared" si="9"/>
        <v>0.1668710256</v>
      </c>
      <c r="L86" s="4">
        <f t="shared" si="10"/>
        <v>3.3333333333333335</v>
      </c>
    </row>
    <row r="87" spans="1:12" x14ac:dyDescent="0.25">
      <c r="A87" s="1">
        <v>4</v>
      </c>
      <c r="B87" s="1">
        <v>18</v>
      </c>
      <c r="C87" s="1" t="s">
        <v>52</v>
      </c>
      <c r="D87" s="1" t="s">
        <v>57</v>
      </c>
      <c r="E87" s="1" t="s">
        <v>53</v>
      </c>
      <c r="F87">
        <v>17</v>
      </c>
      <c r="G87">
        <v>6</v>
      </c>
      <c r="H87" s="3">
        <f t="shared" si="6"/>
        <v>2.2698060000000003E-2</v>
      </c>
      <c r="I87" s="4">
        <f t="shared" si="7"/>
        <v>7.5660200000000011E-2</v>
      </c>
      <c r="J87" s="3">
        <f t="shared" si="8"/>
        <v>5.4609534479999999E-2</v>
      </c>
      <c r="K87" s="4">
        <f t="shared" si="9"/>
        <v>0.1820317816</v>
      </c>
      <c r="L87" s="4">
        <f t="shared" si="10"/>
        <v>3.3333333333333335</v>
      </c>
    </row>
    <row r="88" spans="1:12" x14ac:dyDescent="0.25">
      <c r="A88" s="1">
        <v>4</v>
      </c>
      <c r="B88" s="1">
        <v>19</v>
      </c>
      <c r="C88" s="1" t="s">
        <v>52</v>
      </c>
      <c r="D88" s="1" t="s">
        <v>57</v>
      </c>
      <c r="E88" s="1" t="s">
        <v>53</v>
      </c>
      <c r="F88">
        <v>18</v>
      </c>
      <c r="G88">
        <v>7</v>
      </c>
      <c r="H88" s="3">
        <f t="shared" si="6"/>
        <v>2.5446959999999998E-2</v>
      </c>
      <c r="I88" s="4">
        <f t="shared" si="7"/>
        <v>8.4823200000000001E-2</v>
      </c>
      <c r="J88" s="3">
        <f t="shared" si="8"/>
        <v>6.9884711279999984E-2</v>
      </c>
      <c r="K88" s="4">
        <f t="shared" si="9"/>
        <v>0.23294903759999996</v>
      </c>
      <c r="L88" s="4">
        <f t="shared" si="10"/>
        <v>3.3333333333333335</v>
      </c>
    </row>
    <row r="89" spans="1:12" x14ac:dyDescent="0.25">
      <c r="A89" s="1">
        <v>4</v>
      </c>
      <c r="B89" s="1">
        <v>20</v>
      </c>
      <c r="C89" s="1" t="s">
        <v>52</v>
      </c>
      <c r="D89" s="1" t="s">
        <v>57</v>
      </c>
      <c r="E89" s="1" t="s">
        <v>53</v>
      </c>
      <c r="F89">
        <v>14</v>
      </c>
      <c r="G89">
        <v>6</v>
      </c>
      <c r="H89" s="3">
        <f t="shared" si="6"/>
        <v>1.5393840000000002E-2</v>
      </c>
      <c r="I89" s="4">
        <f t="shared" si="7"/>
        <v>5.1312800000000013E-2</v>
      </c>
      <c r="J89" s="3">
        <f t="shared" si="8"/>
        <v>3.8647832879999997E-2</v>
      </c>
      <c r="K89" s="4">
        <f t="shared" si="9"/>
        <v>0.12882610959999999</v>
      </c>
      <c r="L89" s="4">
        <f t="shared" si="10"/>
        <v>3.3333333333333335</v>
      </c>
    </row>
    <row r="90" spans="1:12" x14ac:dyDescent="0.25">
      <c r="A90" s="1">
        <v>4</v>
      </c>
      <c r="B90" s="1">
        <v>21</v>
      </c>
      <c r="C90" s="1" t="s">
        <v>52</v>
      </c>
      <c r="D90" s="1" t="s">
        <v>57</v>
      </c>
      <c r="E90" s="1" t="s">
        <v>53</v>
      </c>
      <c r="F90">
        <v>12</v>
      </c>
      <c r="G90">
        <v>5</v>
      </c>
      <c r="H90" s="3">
        <f t="shared" si="6"/>
        <v>1.130976E-2</v>
      </c>
      <c r="I90" s="4">
        <f t="shared" si="7"/>
        <v>3.7699200000000002E-2</v>
      </c>
      <c r="J90" s="3">
        <f t="shared" si="8"/>
        <v>2.5603861679999999E-2</v>
      </c>
      <c r="K90" s="4">
        <f t="shared" si="9"/>
        <v>8.5346205600000002E-2</v>
      </c>
      <c r="L90" s="4">
        <f t="shared" si="10"/>
        <v>3.3333333333333335</v>
      </c>
    </row>
    <row r="91" spans="1:12" x14ac:dyDescent="0.25">
      <c r="A91" s="1">
        <v>4</v>
      </c>
      <c r="B91" s="1">
        <v>22</v>
      </c>
      <c r="C91" s="1" t="s">
        <v>52</v>
      </c>
      <c r="D91" s="1" t="s">
        <v>57</v>
      </c>
      <c r="E91" s="1" t="s">
        <v>53</v>
      </c>
      <c r="F91">
        <v>16</v>
      </c>
      <c r="G91">
        <v>7</v>
      </c>
      <c r="H91" s="3">
        <f t="shared" si="6"/>
        <v>2.0106240000000001E-2</v>
      </c>
      <c r="I91" s="4">
        <f t="shared" si="7"/>
        <v>6.7020800000000005E-2</v>
      </c>
      <c r="J91" s="3">
        <f t="shared" si="8"/>
        <v>5.6268636079999997E-2</v>
      </c>
      <c r="K91" s="4">
        <f t="shared" si="9"/>
        <v>0.18756212026666666</v>
      </c>
      <c r="L91" s="4">
        <f t="shared" si="10"/>
        <v>3.3333333333333335</v>
      </c>
    </row>
    <row r="92" spans="1:12" x14ac:dyDescent="0.25">
      <c r="A92" s="1">
        <v>4</v>
      </c>
      <c r="B92" s="1">
        <v>23</v>
      </c>
      <c r="C92" s="1" t="s">
        <v>52</v>
      </c>
      <c r="D92" s="1" t="s">
        <v>57</v>
      </c>
      <c r="E92" s="1" t="s">
        <v>53</v>
      </c>
      <c r="F92">
        <v>13</v>
      </c>
      <c r="G92">
        <v>6</v>
      </c>
      <c r="H92" s="3">
        <f t="shared" si="6"/>
        <v>1.3273260000000002E-2</v>
      </c>
      <c r="I92" s="4">
        <f t="shared" si="7"/>
        <v>4.4244200000000011E-2</v>
      </c>
      <c r="J92" s="3">
        <f t="shared" si="8"/>
        <v>3.401379048E-2</v>
      </c>
      <c r="K92" s="4">
        <f t="shared" si="9"/>
        <v>0.11337930160000001</v>
      </c>
      <c r="L92" s="4">
        <f t="shared" si="10"/>
        <v>3.3333333333333335</v>
      </c>
    </row>
    <row r="93" spans="1:12" x14ac:dyDescent="0.25">
      <c r="A93" s="1">
        <v>4</v>
      </c>
      <c r="B93" s="1">
        <v>24</v>
      </c>
      <c r="C93" s="1" t="s">
        <v>52</v>
      </c>
      <c r="D93" s="1" t="s">
        <v>57</v>
      </c>
      <c r="E93" s="1" t="s">
        <v>53</v>
      </c>
      <c r="F93">
        <v>17</v>
      </c>
      <c r="G93">
        <v>7</v>
      </c>
      <c r="H93" s="3">
        <f t="shared" si="6"/>
        <v>2.2698060000000003E-2</v>
      </c>
      <c r="I93" s="4">
        <f t="shared" si="7"/>
        <v>7.5660200000000011E-2</v>
      </c>
      <c r="J93" s="3">
        <f t="shared" si="8"/>
        <v>6.2876437280000003E-2</v>
      </c>
      <c r="K93" s="4">
        <f t="shared" si="9"/>
        <v>0.20958812426666668</v>
      </c>
      <c r="L93" s="4">
        <f t="shared" si="10"/>
        <v>3.3333333333333335</v>
      </c>
    </row>
    <row r="94" spans="1:12" x14ac:dyDescent="0.25">
      <c r="A94">
        <v>5</v>
      </c>
      <c r="B94">
        <v>1</v>
      </c>
      <c r="C94" s="1" t="s">
        <v>64</v>
      </c>
      <c r="D94" s="1" t="s">
        <v>57</v>
      </c>
      <c r="E94" s="1" t="s">
        <v>53</v>
      </c>
      <c r="F94">
        <v>12</v>
      </c>
      <c r="G94">
        <v>5</v>
      </c>
      <c r="H94" s="3">
        <f t="shared" si="6"/>
        <v>1.130976E-2</v>
      </c>
      <c r="I94" s="4">
        <f t="shared" si="7"/>
        <v>3.7699200000000002E-2</v>
      </c>
      <c r="J94" s="3">
        <f t="shared" si="8"/>
        <v>2.5603861679999999E-2</v>
      </c>
      <c r="K94" s="4">
        <f t="shared" si="9"/>
        <v>8.5346205600000002E-2</v>
      </c>
      <c r="L94" s="4">
        <f t="shared" si="10"/>
        <v>3.3333333333333335</v>
      </c>
    </row>
    <row r="95" spans="1:12" x14ac:dyDescent="0.25">
      <c r="A95" s="1">
        <v>5</v>
      </c>
      <c r="B95">
        <v>2</v>
      </c>
      <c r="C95" s="1" t="s">
        <v>58</v>
      </c>
      <c r="D95" s="1" t="s">
        <v>59</v>
      </c>
      <c r="E95" s="1" t="s">
        <v>53</v>
      </c>
      <c r="F95">
        <v>17</v>
      </c>
      <c r="G95">
        <v>7</v>
      </c>
      <c r="H95" s="3">
        <f t="shared" si="6"/>
        <v>2.2698060000000003E-2</v>
      </c>
      <c r="I95" s="4">
        <f t="shared" si="7"/>
        <v>7.5660200000000011E-2</v>
      </c>
      <c r="J95" s="3">
        <f>(0.0434084982+0.0000350901*(F95^2*G95))</f>
        <v>0.11439577049999999</v>
      </c>
      <c r="K95" s="4">
        <f t="shared" si="9"/>
        <v>0.38131923499999998</v>
      </c>
      <c r="L95" s="4">
        <f t="shared" si="10"/>
        <v>3.3333333333333335</v>
      </c>
    </row>
    <row r="96" spans="1:12" x14ac:dyDescent="0.25">
      <c r="A96" s="1">
        <v>5</v>
      </c>
      <c r="B96">
        <v>3</v>
      </c>
      <c r="C96" s="1" t="s">
        <v>58</v>
      </c>
      <c r="D96" s="1" t="s">
        <v>59</v>
      </c>
      <c r="E96" s="1" t="s">
        <v>53</v>
      </c>
      <c r="F96">
        <v>12</v>
      </c>
      <c r="G96">
        <v>6</v>
      </c>
      <c r="H96" s="3">
        <f t="shared" si="6"/>
        <v>1.130976E-2</v>
      </c>
      <c r="I96" s="4">
        <f t="shared" si="7"/>
        <v>3.7699200000000002E-2</v>
      </c>
      <c r="J96" s="3">
        <f t="shared" ref="J96:J101" si="12">(0.0434084982+0.0000350901*(F96^2*G96))</f>
        <v>7.3726344599999993E-2</v>
      </c>
      <c r="K96" s="4">
        <f t="shared" si="9"/>
        <v>0.245754482</v>
      </c>
      <c r="L96" s="4">
        <f t="shared" si="10"/>
        <v>3.3333333333333335</v>
      </c>
    </row>
    <row r="97" spans="1:12" x14ac:dyDescent="0.25">
      <c r="A97" s="1">
        <v>5</v>
      </c>
      <c r="B97" s="1">
        <v>4</v>
      </c>
      <c r="C97" s="1" t="s">
        <v>58</v>
      </c>
      <c r="D97" s="1" t="s">
        <v>59</v>
      </c>
      <c r="E97" s="1" t="s">
        <v>53</v>
      </c>
      <c r="F97">
        <v>10</v>
      </c>
      <c r="G97">
        <v>5</v>
      </c>
      <c r="H97" s="3">
        <f t="shared" si="6"/>
        <v>7.8540000000000016E-3</v>
      </c>
      <c r="I97" s="4">
        <f t="shared" si="7"/>
        <v>2.6180000000000005E-2</v>
      </c>
      <c r="J97" s="3">
        <f t="shared" si="12"/>
        <v>6.0953548199999999E-2</v>
      </c>
      <c r="K97" s="4">
        <f t="shared" si="9"/>
        <v>0.20317849400000002</v>
      </c>
      <c r="L97" s="4">
        <f t="shared" si="10"/>
        <v>3.3333333333333335</v>
      </c>
    </row>
    <row r="98" spans="1:12" x14ac:dyDescent="0.25">
      <c r="A98" s="1">
        <v>5</v>
      </c>
      <c r="B98" s="1">
        <v>5</v>
      </c>
      <c r="C98" s="1" t="s">
        <v>58</v>
      </c>
      <c r="D98" s="1" t="s">
        <v>59</v>
      </c>
      <c r="E98" s="1" t="s">
        <v>53</v>
      </c>
      <c r="F98">
        <v>15</v>
      </c>
      <c r="G98">
        <v>6</v>
      </c>
      <c r="H98" s="3">
        <f t="shared" si="6"/>
        <v>1.76715E-2</v>
      </c>
      <c r="I98" s="4">
        <f t="shared" si="7"/>
        <v>5.8904999999999999E-2</v>
      </c>
      <c r="J98" s="3">
        <f t="shared" si="12"/>
        <v>9.0780133200000002E-2</v>
      </c>
      <c r="K98" s="4">
        <f t="shared" si="9"/>
        <v>0.30260044400000002</v>
      </c>
      <c r="L98" s="4">
        <f t="shared" si="10"/>
        <v>3.3333333333333335</v>
      </c>
    </row>
    <row r="99" spans="1:12" x14ac:dyDescent="0.25">
      <c r="A99" s="1">
        <v>5</v>
      </c>
      <c r="B99" s="1">
        <v>6</v>
      </c>
      <c r="C99" s="1" t="s">
        <v>58</v>
      </c>
      <c r="D99" s="1" t="s">
        <v>59</v>
      </c>
      <c r="E99" s="1" t="s">
        <v>53</v>
      </c>
      <c r="F99">
        <v>16</v>
      </c>
      <c r="G99">
        <v>7</v>
      </c>
      <c r="H99" s="3">
        <f t="shared" si="6"/>
        <v>2.0106240000000001E-2</v>
      </c>
      <c r="I99" s="4">
        <f t="shared" si="7"/>
        <v>6.7020800000000005E-2</v>
      </c>
      <c r="J99" s="3">
        <f t="shared" si="12"/>
        <v>0.1062899574</v>
      </c>
      <c r="K99" s="4">
        <f t="shared" si="9"/>
        <v>0.35429985800000002</v>
      </c>
      <c r="L99" s="4">
        <f t="shared" si="10"/>
        <v>3.3333333333333335</v>
      </c>
    </row>
    <row r="100" spans="1:12" x14ac:dyDescent="0.25">
      <c r="A100" s="1">
        <v>5</v>
      </c>
      <c r="B100" s="1">
        <v>7</v>
      </c>
      <c r="C100" s="1" t="s">
        <v>58</v>
      </c>
      <c r="D100" s="1" t="s">
        <v>59</v>
      </c>
      <c r="E100" s="1" t="s">
        <v>53</v>
      </c>
      <c r="F100">
        <v>14</v>
      </c>
      <c r="G100">
        <v>6</v>
      </c>
      <c r="H100" s="3">
        <f t="shared" si="6"/>
        <v>1.5393840000000002E-2</v>
      </c>
      <c r="I100" s="4">
        <f t="shared" si="7"/>
        <v>5.1312800000000013E-2</v>
      </c>
      <c r="J100" s="3">
        <f t="shared" si="12"/>
        <v>8.4674455799999993E-2</v>
      </c>
      <c r="K100" s="4">
        <f t="shared" si="9"/>
        <v>0.28224818600000001</v>
      </c>
      <c r="L100" s="4">
        <f t="shared" si="10"/>
        <v>3.3333333333333335</v>
      </c>
    </row>
    <row r="101" spans="1:12" x14ac:dyDescent="0.25">
      <c r="A101" s="1">
        <v>5</v>
      </c>
      <c r="B101" s="1">
        <v>8</v>
      </c>
      <c r="C101" s="1" t="s">
        <v>58</v>
      </c>
      <c r="D101" s="1" t="s">
        <v>59</v>
      </c>
      <c r="E101" s="1" t="s">
        <v>53</v>
      </c>
      <c r="F101">
        <v>12</v>
      </c>
      <c r="G101">
        <v>6</v>
      </c>
      <c r="H101" s="3">
        <f t="shared" si="6"/>
        <v>1.130976E-2</v>
      </c>
      <c r="I101" s="4">
        <f t="shared" si="7"/>
        <v>3.7699200000000002E-2</v>
      </c>
      <c r="J101" s="3">
        <f t="shared" si="12"/>
        <v>7.3726344599999993E-2</v>
      </c>
      <c r="K101" s="4">
        <f t="shared" si="9"/>
        <v>0.245754482</v>
      </c>
      <c r="L101" s="4">
        <f t="shared" si="10"/>
        <v>3.3333333333333335</v>
      </c>
    </row>
    <row r="102" spans="1:12" x14ac:dyDescent="0.25">
      <c r="A102" s="1">
        <v>5</v>
      </c>
      <c r="B102" s="1">
        <v>9</v>
      </c>
      <c r="C102" s="1" t="s">
        <v>52</v>
      </c>
      <c r="D102" s="1" t="s">
        <v>57</v>
      </c>
      <c r="E102" s="1" t="s">
        <v>53</v>
      </c>
      <c r="F102">
        <v>14</v>
      </c>
      <c r="G102">
        <v>7</v>
      </c>
      <c r="H102" s="3">
        <f t="shared" si="6"/>
        <v>1.5393840000000002E-2</v>
      </c>
      <c r="I102" s="4">
        <f t="shared" si="7"/>
        <v>5.1312800000000013E-2</v>
      </c>
      <c r="J102" s="3">
        <f t="shared" si="8"/>
        <v>4.4254452079999999E-2</v>
      </c>
      <c r="K102" s="4">
        <f t="shared" si="9"/>
        <v>0.14751484026666667</v>
      </c>
      <c r="L102" s="4">
        <f t="shared" si="10"/>
        <v>3.3333333333333335</v>
      </c>
    </row>
    <row r="103" spans="1:12" x14ac:dyDescent="0.25">
      <c r="A103" s="1">
        <v>5</v>
      </c>
      <c r="B103" s="1">
        <v>10</v>
      </c>
      <c r="C103" s="1" t="s">
        <v>52</v>
      </c>
      <c r="D103" s="1" t="s">
        <v>57</v>
      </c>
      <c r="E103" s="1" t="s">
        <v>53</v>
      </c>
      <c r="F103">
        <v>17</v>
      </c>
      <c r="G103">
        <v>8</v>
      </c>
      <c r="H103" s="3">
        <f t="shared" si="6"/>
        <v>2.2698060000000003E-2</v>
      </c>
      <c r="I103" s="4">
        <f t="shared" si="7"/>
        <v>7.5660200000000011E-2</v>
      </c>
      <c r="J103" s="3">
        <f t="shared" si="8"/>
        <v>7.1143340080000006E-2</v>
      </c>
      <c r="K103" s="4">
        <f t="shared" si="9"/>
        <v>0.23714446693333335</v>
      </c>
      <c r="L103" s="4">
        <f t="shared" si="10"/>
        <v>3.3333333333333335</v>
      </c>
    </row>
    <row r="104" spans="1:12" x14ac:dyDescent="0.25">
      <c r="A104" s="1">
        <v>5</v>
      </c>
      <c r="B104" s="1">
        <v>11</v>
      </c>
      <c r="C104" s="1" t="s">
        <v>52</v>
      </c>
      <c r="D104" s="1" t="s">
        <v>57</v>
      </c>
      <c r="E104" s="1" t="s">
        <v>53</v>
      </c>
      <c r="F104">
        <v>15</v>
      </c>
      <c r="G104">
        <v>7</v>
      </c>
      <c r="H104" s="3">
        <f t="shared" si="6"/>
        <v>1.76715E-2</v>
      </c>
      <c r="I104" s="4">
        <f t="shared" si="7"/>
        <v>5.8904999999999999E-2</v>
      </c>
      <c r="J104" s="3">
        <f t="shared" si="8"/>
        <v>5.006130768E-2</v>
      </c>
      <c r="K104" s="4">
        <f t="shared" si="9"/>
        <v>0.1668710256</v>
      </c>
      <c r="L104" s="4">
        <f t="shared" si="10"/>
        <v>3.3333333333333335</v>
      </c>
    </row>
    <row r="105" spans="1:12" x14ac:dyDescent="0.25">
      <c r="A105" s="1">
        <v>5</v>
      </c>
      <c r="B105" s="1">
        <v>12</v>
      </c>
      <c r="C105" s="1" t="s">
        <v>52</v>
      </c>
      <c r="D105" s="1" t="s">
        <v>57</v>
      </c>
      <c r="E105" s="1" t="s">
        <v>53</v>
      </c>
      <c r="F105">
        <v>18</v>
      </c>
      <c r="G105">
        <v>9</v>
      </c>
      <c r="H105" s="3">
        <f t="shared" si="6"/>
        <v>2.5446959999999998E-2</v>
      </c>
      <c r="I105" s="4">
        <f t="shared" si="7"/>
        <v>8.4823200000000001E-2</v>
      </c>
      <c r="J105" s="3">
        <f t="shared" si="8"/>
        <v>8.8420880879999997E-2</v>
      </c>
      <c r="K105" s="4">
        <f t="shared" si="9"/>
        <v>0.29473626959999999</v>
      </c>
      <c r="L105" s="4">
        <f t="shared" si="10"/>
        <v>3.3333333333333335</v>
      </c>
    </row>
    <row r="106" spans="1:12" x14ac:dyDescent="0.25">
      <c r="A106" s="1">
        <v>5</v>
      </c>
      <c r="B106" s="1">
        <v>13</v>
      </c>
      <c r="C106" s="1" t="s">
        <v>52</v>
      </c>
      <c r="D106" s="1" t="s">
        <v>57</v>
      </c>
      <c r="E106" s="1" t="s">
        <v>53</v>
      </c>
      <c r="F106">
        <v>16</v>
      </c>
      <c r="G106">
        <v>6</v>
      </c>
      <c r="H106" s="3">
        <f t="shared" si="6"/>
        <v>2.0106240000000001E-2</v>
      </c>
      <c r="I106" s="4">
        <f t="shared" si="7"/>
        <v>6.7020800000000005E-2</v>
      </c>
      <c r="J106" s="3">
        <f t="shared" si="8"/>
        <v>4.8945704879999996E-2</v>
      </c>
      <c r="K106" s="4">
        <f t="shared" si="9"/>
        <v>0.1631523496</v>
      </c>
      <c r="L106" s="4">
        <f t="shared" si="10"/>
        <v>3.3333333333333335</v>
      </c>
    </row>
    <row r="107" spans="1:12" x14ac:dyDescent="0.25">
      <c r="A107" s="1">
        <v>5</v>
      </c>
      <c r="B107" s="1">
        <v>14</v>
      </c>
      <c r="C107" s="1" t="s">
        <v>58</v>
      </c>
      <c r="D107" s="1" t="s">
        <v>59</v>
      </c>
      <c r="E107" s="1" t="s">
        <v>53</v>
      </c>
      <c r="F107">
        <v>12</v>
      </c>
      <c r="G107">
        <v>6</v>
      </c>
      <c r="H107" s="3">
        <f t="shared" si="6"/>
        <v>1.130976E-2</v>
      </c>
      <c r="I107" s="4">
        <f t="shared" si="7"/>
        <v>3.7699200000000002E-2</v>
      </c>
      <c r="J107" s="3">
        <f>(0.0434084982+0.0000350901*(F107^2*G107))</f>
        <v>7.3726344599999993E-2</v>
      </c>
      <c r="K107" s="4">
        <f t="shared" si="9"/>
        <v>0.245754482</v>
      </c>
      <c r="L107" s="4">
        <f t="shared" si="10"/>
        <v>3.3333333333333335</v>
      </c>
    </row>
    <row r="108" spans="1:12" x14ac:dyDescent="0.25">
      <c r="A108" s="1">
        <v>5</v>
      </c>
      <c r="B108" s="1">
        <v>15</v>
      </c>
      <c r="C108" s="1" t="s">
        <v>58</v>
      </c>
      <c r="D108" s="1" t="s">
        <v>59</v>
      </c>
      <c r="E108" s="1" t="s">
        <v>53</v>
      </c>
      <c r="F108">
        <v>10</v>
      </c>
      <c r="G108">
        <v>5</v>
      </c>
      <c r="H108" s="3">
        <f t="shared" si="6"/>
        <v>7.8540000000000016E-3</v>
      </c>
      <c r="I108" s="4">
        <f t="shared" si="7"/>
        <v>2.6180000000000005E-2</v>
      </c>
      <c r="J108" s="3">
        <f>(0.0434084982+0.0000350901*(F108^2*G108))</f>
        <v>6.0953548199999999E-2</v>
      </c>
      <c r="K108" s="4">
        <f t="shared" si="9"/>
        <v>0.20317849400000002</v>
      </c>
      <c r="L108" s="4">
        <f t="shared" si="10"/>
        <v>3.3333333333333335</v>
      </c>
    </row>
    <row r="109" spans="1:12" x14ac:dyDescent="0.25">
      <c r="A109" s="1">
        <v>5</v>
      </c>
      <c r="B109" s="1">
        <v>16</v>
      </c>
      <c r="C109" s="1" t="s">
        <v>64</v>
      </c>
      <c r="D109" s="1" t="s">
        <v>57</v>
      </c>
      <c r="E109" s="1" t="s">
        <v>62</v>
      </c>
      <c r="F109">
        <v>14</v>
      </c>
      <c r="G109">
        <v>7</v>
      </c>
      <c r="H109" s="3">
        <f t="shared" si="6"/>
        <v>1.5393840000000002E-2</v>
      </c>
      <c r="I109" s="4">
        <f t="shared" si="7"/>
        <v>5.1312800000000013E-2</v>
      </c>
      <c r="J109" s="3">
        <f t="shared" si="8"/>
        <v>4.4254452079999999E-2</v>
      </c>
      <c r="K109" s="4">
        <f t="shared" si="9"/>
        <v>0.14751484026666667</v>
      </c>
      <c r="L109" s="4">
        <f t="shared" si="10"/>
        <v>3.3333333333333335</v>
      </c>
    </row>
    <row r="110" spans="1:12" x14ac:dyDescent="0.25">
      <c r="A110" s="1">
        <v>5</v>
      </c>
      <c r="B110" s="1">
        <v>17</v>
      </c>
      <c r="C110" s="1" t="s">
        <v>58</v>
      </c>
      <c r="D110" s="1" t="s">
        <v>59</v>
      </c>
      <c r="E110" s="1" t="s">
        <v>53</v>
      </c>
      <c r="F110">
        <v>17</v>
      </c>
      <c r="G110">
        <v>7</v>
      </c>
      <c r="H110" s="3">
        <f t="shared" si="6"/>
        <v>2.2698060000000003E-2</v>
      </c>
      <c r="I110" s="4">
        <f t="shared" si="7"/>
        <v>7.5660200000000011E-2</v>
      </c>
      <c r="J110" s="3">
        <f>(0.0434084982+0.0000350901*(F110^2*G110))</f>
        <v>0.11439577049999999</v>
      </c>
      <c r="K110" s="4">
        <f t="shared" si="9"/>
        <v>0.38131923499999998</v>
      </c>
      <c r="L110" s="4">
        <f t="shared" si="10"/>
        <v>3.3333333333333335</v>
      </c>
    </row>
    <row r="111" spans="1:12" x14ac:dyDescent="0.25">
      <c r="A111" s="1">
        <v>5</v>
      </c>
      <c r="B111" s="1">
        <v>18</v>
      </c>
      <c r="C111" s="1" t="s">
        <v>58</v>
      </c>
      <c r="D111" s="1" t="s">
        <v>59</v>
      </c>
      <c r="E111" s="1" t="s">
        <v>60</v>
      </c>
      <c r="F111">
        <v>38</v>
      </c>
      <c r="G111">
        <v>18</v>
      </c>
      <c r="H111" s="3">
        <f t="shared" si="6"/>
        <v>0.11341176</v>
      </c>
      <c r="I111" s="4">
        <f t="shared" si="7"/>
        <v>0.37803920000000002</v>
      </c>
      <c r="J111" s="3">
        <f>(0.0434084982+0.0000350901*(F111^2*G111))</f>
        <v>0.95547037739999996</v>
      </c>
      <c r="K111" s="4">
        <f t="shared" si="9"/>
        <v>3.184901258</v>
      </c>
      <c r="L111" s="4">
        <f t="shared" si="10"/>
        <v>3.3333333333333335</v>
      </c>
    </row>
    <row r="112" spans="1:12" x14ac:dyDescent="0.25">
      <c r="A112" s="1">
        <v>5</v>
      </c>
      <c r="B112" s="1">
        <v>19</v>
      </c>
      <c r="C112" s="1" t="s">
        <v>64</v>
      </c>
      <c r="D112" s="1" t="s">
        <v>57</v>
      </c>
      <c r="E112" s="1" t="s">
        <v>53</v>
      </c>
      <c r="F112">
        <v>12</v>
      </c>
      <c r="G112">
        <v>6</v>
      </c>
      <c r="H112" s="3">
        <f t="shared" si="6"/>
        <v>1.130976E-2</v>
      </c>
      <c r="I112" s="4">
        <f t="shared" si="7"/>
        <v>3.7699200000000002E-2</v>
      </c>
      <c r="J112" s="3">
        <f t="shared" si="8"/>
        <v>2.9723010479999999E-2</v>
      </c>
      <c r="K112" s="4">
        <f t="shared" si="9"/>
        <v>9.9076701599999997E-2</v>
      </c>
      <c r="L112" s="4">
        <f t="shared" si="10"/>
        <v>3.3333333333333335</v>
      </c>
    </row>
    <row r="113" spans="1:12" x14ac:dyDescent="0.25">
      <c r="A113" s="1">
        <v>5</v>
      </c>
      <c r="B113" s="1">
        <v>20</v>
      </c>
      <c r="C113" s="1" t="s">
        <v>52</v>
      </c>
      <c r="D113" s="1" t="s">
        <v>57</v>
      </c>
      <c r="E113" s="1" t="s">
        <v>53</v>
      </c>
      <c r="F113" s="1">
        <v>12</v>
      </c>
      <c r="G113" s="1">
        <v>6</v>
      </c>
      <c r="H113" s="3">
        <f>0.7854*(F113/100)^2</f>
        <v>1.130976E-2</v>
      </c>
      <c r="I113" s="4">
        <f t="shared" si="7"/>
        <v>3.7699200000000002E-2</v>
      </c>
      <c r="J113" s="3">
        <f t="shared" si="8"/>
        <v>2.9723010479999999E-2</v>
      </c>
      <c r="K113" s="4">
        <f t="shared" si="9"/>
        <v>9.9076701599999997E-2</v>
      </c>
      <c r="L113" s="4">
        <f t="shared" si="10"/>
        <v>3.3333333333333335</v>
      </c>
    </row>
    <row r="114" spans="1:12" x14ac:dyDescent="0.25">
      <c r="A114" s="1">
        <v>5</v>
      </c>
      <c r="B114" s="1">
        <v>21</v>
      </c>
      <c r="C114" s="1" t="s">
        <v>52</v>
      </c>
      <c r="D114" s="1" t="s">
        <v>57</v>
      </c>
      <c r="E114" s="1" t="s">
        <v>53</v>
      </c>
      <c r="F114" s="1">
        <v>12</v>
      </c>
      <c r="G114" s="1">
        <v>6</v>
      </c>
      <c r="H114" s="3">
        <f t="shared" si="6"/>
        <v>1.130976E-2</v>
      </c>
      <c r="I114" s="4">
        <f t="shared" si="7"/>
        <v>3.7699200000000002E-2</v>
      </c>
      <c r="J114" s="3">
        <f t="shared" si="8"/>
        <v>2.9723010479999999E-2</v>
      </c>
      <c r="K114" s="4">
        <f t="shared" si="9"/>
        <v>9.9076701599999997E-2</v>
      </c>
      <c r="L114" s="4">
        <f t="shared" si="10"/>
        <v>3.3333333333333335</v>
      </c>
    </row>
    <row r="115" spans="1:12" x14ac:dyDescent="0.25">
      <c r="A115" s="1">
        <v>5</v>
      </c>
      <c r="B115" s="1">
        <v>22</v>
      </c>
      <c r="C115" s="1" t="s">
        <v>58</v>
      </c>
      <c r="D115" s="1" t="s">
        <v>59</v>
      </c>
      <c r="E115" s="1" t="s">
        <v>60</v>
      </c>
      <c r="F115">
        <v>37</v>
      </c>
      <c r="G115">
        <v>17</v>
      </c>
      <c r="H115" s="3">
        <f t="shared" si="6"/>
        <v>0.10752125999999999</v>
      </c>
      <c r="I115" s="4">
        <f t="shared" si="7"/>
        <v>0.35840420000000001</v>
      </c>
      <c r="J115" s="3">
        <f>(0.0434084982+0.0000350901*(F115^2*G115))</f>
        <v>0.86006039550000002</v>
      </c>
      <c r="K115" s="4">
        <f t="shared" si="9"/>
        <v>2.8668679850000003</v>
      </c>
      <c r="L115" s="4">
        <f t="shared" si="10"/>
        <v>3.3333333333333335</v>
      </c>
    </row>
    <row r="116" spans="1:12" x14ac:dyDescent="0.25">
      <c r="A116">
        <v>6</v>
      </c>
      <c r="B116">
        <v>1</v>
      </c>
      <c r="C116" s="1" t="s">
        <v>52</v>
      </c>
      <c r="D116" s="1" t="s">
        <v>57</v>
      </c>
      <c r="E116" s="1" t="s">
        <v>53</v>
      </c>
      <c r="F116">
        <v>12</v>
      </c>
      <c r="G116">
        <v>6</v>
      </c>
      <c r="H116" s="3">
        <f t="shared" si="6"/>
        <v>1.130976E-2</v>
      </c>
      <c r="I116" s="4">
        <f t="shared" si="7"/>
        <v>3.7699200000000002E-2</v>
      </c>
      <c r="J116" s="3">
        <f t="shared" si="8"/>
        <v>2.9723010479999999E-2</v>
      </c>
      <c r="K116" s="4">
        <f t="shared" si="9"/>
        <v>9.9076701599999997E-2</v>
      </c>
      <c r="L116" s="4">
        <f t="shared" si="10"/>
        <v>3.3333333333333335</v>
      </c>
    </row>
    <row r="117" spans="1:12" x14ac:dyDescent="0.25">
      <c r="A117" s="1">
        <v>6</v>
      </c>
      <c r="B117">
        <v>2</v>
      </c>
      <c r="C117" s="1" t="s">
        <v>52</v>
      </c>
      <c r="D117" s="1" t="s">
        <v>57</v>
      </c>
      <c r="E117" s="1" t="s">
        <v>53</v>
      </c>
      <c r="F117">
        <v>14</v>
      </c>
      <c r="G117">
        <v>7</v>
      </c>
      <c r="H117" s="3">
        <f t="shared" si="6"/>
        <v>1.5393840000000002E-2</v>
      </c>
      <c r="I117" s="4">
        <f t="shared" si="7"/>
        <v>5.1312800000000013E-2</v>
      </c>
      <c r="J117" s="3">
        <f t="shared" si="8"/>
        <v>4.4254452079999999E-2</v>
      </c>
      <c r="K117" s="4">
        <f t="shared" si="9"/>
        <v>0.14751484026666667</v>
      </c>
      <c r="L117" s="4">
        <f t="shared" si="10"/>
        <v>3.3333333333333335</v>
      </c>
    </row>
    <row r="118" spans="1:12" x14ac:dyDescent="0.25">
      <c r="A118" s="1">
        <v>6</v>
      </c>
      <c r="B118">
        <v>3</v>
      </c>
      <c r="C118" s="1" t="s">
        <v>52</v>
      </c>
      <c r="D118" s="1" t="s">
        <v>57</v>
      </c>
      <c r="E118" s="1" t="s">
        <v>53</v>
      </c>
      <c r="F118">
        <v>13</v>
      </c>
      <c r="G118">
        <v>6</v>
      </c>
      <c r="H118" s="3">
        <f t="shared" si="6"/>
        <v>1.3273260000000002E-2</v>
      </c>
      <c r="I118" s="4">
        <f t="shared" si="7"/>
        <v>4.4244200000000011E-2</v>
      </c>
      <c r="J118" s="3">
        <f t="shared" si="8"/>
        <v>3.401379048E-2</v>
      </c>
      <c r="K118" s="4">
        <f t="shared" si="9"/>
        <v>0.11337930160000001</v>
      </c>
      <c r="L118" s="4">
        <f t="shared" si="10"/>
        <v>3.3333333333333335</v>
      </c>
    </row>
    <row r="119" spans="1:12" x14ac:dyDescent="0.25">
      <c r="A119" s="1">
        <v>6</v>
      </c>
      <c r="B119">
        <v>4</v>
      </c>
      <c r="C119" s="1" t="s">
        <v>52</v>
      </c>
      <c r="D119" s="1" t="s">
        <v>57</v>
      </c>
      <c r="E119" s="1" t="s">
        <v>53</v>
      </c>
      <c r="F119">
        <v>10</v>
      </c>
      <c r="G119">
        <v>5</v>
      </c>
      <c r="H119" s="3">
        <f t="shared" si="6"/>
        <v>7.8540000000000016E-3</v>
      </c>
      <c r="I119" s="4">
        <f t="shared" si="7"/>
        <v>2.6180000000000005E-2</v>
      </c>
      <c r="J119" s="3">
        <f t="shared" si="8"/>
        <v>1.9310717679999999E-2</v>
      </c>
      <c r="K119" s="4">
        <f t="shared" si="9"/>
        <v>6.4369058933333334E-2</v>
      </c>
      <c r="L119" s="4">
        <f t="shared" si="10"/>
        <v>3.3333333333333335</v>
      </c>
    </row>
    <row r="120" spans="1:12" x14ac:dyDescent="0.25">
      <c r="A120" s="1">
        <v>6</v>
      </c>
      <c r="B120" s="1">
        <v>5</v>
      </c>
      <c r="C120" s="1" t="s">
        <v>52</v>
      </c>
      <c r="D120" s="1" t="s">
        <v>57</v>
      </c>
      <c r="E120" s="1" t="s">
        <v>53</v>
      </c>
      <c r="F120">
        <v>16</v>
      </c>
      <c r="G120">
        <v>7</v>
      </c>
      <c r="H120" s="3">
        <f t="shared" si="6"/>
        <v>2.0106240000000001E-2</v>
      </c>
      <c r="I120" s="4">
        <f t="shared" si="7"/>
        <v>6.7020800000000005E-2</v>
      </c>
      <c r="J120" s="3">
        <f t="shared" si="8"/>
        <v>5.6268636079999997E-2</v>
      </c>
      <c r="K120" s="4">
        <f t="shared" si="9"/>
        <v>0.18756212026666666</v>
      </c>
      <c r="L120" s="4">
        <f t="shared" si="10"/>
        <v>3.3333333333333335</v>
      </c>
    </row>
    <row r="121" spans="1:12" x14ac:dyDescent="0.25">
      <c r="A121" s="1">
        <v>6</v>
      </c>
      <c r="B121" s="1">
        <v>6</v>
      </c>
      <c r="C121" s="1" t="s">
        <v>52</v>
      </c>
      <c r="D121" s="1" t="s">
        <v>57</v>
      </c>
      <c r="E121" s="1" t="s">
        <v>53</v>
      </c>
      <c r="F121">
        <v>14</v>
      </c>
      <c r="G121">
        <v>6</v>
      </c>
      <c r="H121" s="3">
        <f t="shared" si="6"/>
        <v>1.5393840000000002E-2</v>
      </c>
      <c r="I121" s="4">
        <f t="shared" si="7"/>
        <v>5.1312800000000013E-2</v>
      </c>
      <c r="J121" s="3">
        <f t="shared" si="8"/>
        <v>3.8647832879999997E-2</v>
      </c>
      <c r="K121" s="4">
        <f t="shared" si="9"/>
        <v>0.12882610959999999</v>
      </c>
      <c r="L121" s="4">
        <f t="shared" si="10"/>
        <v>3.3333333333333335</v>
      </c>
    </row>
    <row r="122" spans="1:12" x14ac:dyDescent="0.25">
      <c r="A122" s="1">
        <v>6</v>
      </c>
      <c r="B122" s="1">
        <v>7</v>
      </c>
      <c r="C122" s="1" t="s">
        <v>52</v>
      </c>
      <c r="D122" s="1" t="s">
        <v>57</v>
      </c>
      <c r="E122" s="1" t="s">
        <v>53</v>
      </c>
      <c r="F122">
        <v>15</v>
      </c>
      <c r="G122">
        <v>7</v>
      </c>
      <c r="H122" s="3">
        <f t="shared" si="6"/>
        <v>1.76715E-2</v>
      </c>
      <c r="I122" s="4">
        <f t="shared" si="7"/>
        <v>5.8904999999999999E-2</v>
      </c>
      <c r="J122" s="3">
        <f t="shared" si="8"/>
        <v>5.006130768E-2</v>
      </c>
      <c r="K122" s="4">
        <f t="shared" si="9"/>
        <v>0.1668710256</v>
      </c>
      <c r="L122" s="4">
        <f t="shared" si="10"/>
        <v>3.3333333333333335</v>
      </c>
    </row>
    <row r="123" spans="1:12" x14ac:dyDescent="0.25">
      <c r="A123" s="1">
        <v>6</v>
      </c>
      <c r="B123" s="1">
        <v>8</v>
      </c>
      <c r="C123" s="1" t="s">
        <v>52</v>
      </c>
      <c r="D123" s="1" t="s">
        <v>57</v>
      </c>
      <c r="E123" s="1" t="s">
        <v>53</v>
      </c>
      <c r="F123">
        <v>14</v>
      </c>
      <c r="G123">
        <v>7</v>
      </c>
      <c r="H123" s="3">
        <f t="shared" si="6"/>
        <v>1.5393840000000002E-2</v>
      </c>
      <c r="I123" s="4">
        <f t="shared" si="7"/>
        <v>5.1312800000000013E-2</v>
      </c>
      <c r="J123" s="3">
        <f t="shared" si="8"/>
        <v>4.4254452079999999E-2</v>
      </c>
      <c r="K123" s="4">
        <f t="shared" si="9"/>
        <v>0.14751484026666667</v>
      </c>
      <c r="L123" s="4">
        <f t="shared" si="10"/>
        <v>3.3333333333333335</v>
      </c>
    </row>
    <row r="124" spans="1:12" x14ac:dyDescent="0.25">
      <c r="A124" s="1">
        <v>6</v>
      </c>
      <c r="B124" s="1">
        <v>9</v>
      </c>
      <c r="C124" s="1" t="s">
        <v>52</v>
      </c>
      <c r="D124" s="1" t="s">
        <v>57</v>
      </c>
      <c r="E124" s="1" t="s">
        <v>53</v>
      </c>
      <c r="F124">
        <v>16</v>
      </c>
      <c r="G124">
        <v>8</v>
      </c>
      <c r="H124" s="3">
        <f t="shared" si="6"/>
        <v>2.0106240000000001E-2</v>
      </c>
      <c r="I124" s="4">
        <f t="shared" si="7"/>
        <v>6.7020800000000005E-2</v>
      </c>
      <c r="J124" s="3">
        <f t="shared" si="8"/>
        <v>6.3591567279999997E-2</v>
      </c>
      <c r="K124" s="4">
        <f t="shared" si="9"/>
        <v>0.21197189093333332</v>
      </c>
      <c r="L124" s="4">
        <f t="shared" si="10"/>
        <v>3.3333333333333335</v>
      </c>
    </row>
    <row r="125" spans="1:12" x14ac:dyDescent="0.25">
      <c r="A125" s="1">
        <v>6</v>
      </c>
      <c r="B125" s="1">
        <v>10</v>
      </c>
      <c r="C125" s="1" t="s">
        <v>52</v>
      </c>
      <c r="D125" s="1" t="s">
        <v>57</v>
      </c>
      <c r="E125" s="1" t="s">
        <v>53</v>
      </c>
      <c r="F125">
        <v>17</v>
      </c>
      <c r="G125">
        <v>7</v>
      </c>
      <c r="H125" s="3">
        <f t="shared" si="6"/>
        <v>2.2698060000000003E-2</v>
      </c>
      <c r="I125" s="4">
        <f t="shared" si="7"/>
        <v>7.5660200000000011E-2</v>
      </c>
      <c r="J125" s="3">
        <f t="shared" si="8"/>
        <v>6.2876437280000003E-2</v>
      </c>
      <c r="K125" s="4">
        <f t="shared" si="9"/>
        <v>0.20958812426666668</v>
      </c>
      <c r="L125" s="4">
        <f t="shared" si="10"/>
        <v>3.3333333333333335</v>
      </c>
    </row>
    <row r="126" spans="1:12" x14ac:dyDescent="0.25">
      <c r="A126" s="1">
        <v>6</v>
      </c>
      <c r="B126" s="1">
        <v>11</v>
      </c>
      <c r="C126" s="1" t="s">
        <v>52</v>
      </c>
      <c r="D126" s="1" t="s">
        <v>57</v>
      </c>
      <c r="E126" s="1" t="s">
        <v>53</v>
      </c>
      <c r="F126">
        <v>14</v>
      </c>
      <c r="G126">
        <v>6</v>
      </c>
      <c r="H126" s="3">
        <f t="shared" si="6"/>
        <v>1.5393840000000002E-2</v>
      </c>
      <c r="I126" s="4">
        <f t="shared" si="7"/>
        <v>5.1312800000000013E-2</v>
      </c>
      <c r="J126" s="3">
        <f t="shared" si="8"/>
        <v>3.8647832879999997E-2</v>
      </c>
      <c r="K126" s="4">
        <f t="shared" si="9"/>
        <v>0.12882610959999999</v>
      </c>
      <c r="L126" s="4">
        <f t="shared" si="10"/>
        <v>3.3333333333333335</v>
      </c>
    </row>
    <row r="127" spans="1:12" x14ac:dyDescent="0.25">
      <c r="A127" s="1">
        <v>6</v>
      </c>
      <c r="B127" s="1">
        <v>12</v>
      </c>
      <c r="C127" s="1" t="s">
        <v>52</v>
      </c>
      <c r="D127" s="1" t="s">
        <v>57</v>
      </c>
      <c r="E127" s="1" t="s">
        <v>53</v>
      </c>
      <c r="F127">
        <v>13</v>
      </c>
      <c r="G127">
        <v>6</v>
      </c>
      <c r="H127" s="3">
        <f t="shared" si="6"/>
        <v>1.3273260000000002E-2</v>
      </c>
      <c r="I127" s="4">
        <f t="shared" si="7"/>
        <v>4.4244200000000011E-2</v>
      </c>
      <c r="J127" s="3">
        <f t="shared" si="8"/>
        <v>3.401379048E-2</v>
      </c>
      <c r="K127" s="4">
        <f t="shared" si="9"/>
        <v>0.11337930160000001</v>
      </c>
      <c r="L127" s="4">
        <f t="shared" si="10"/>
        <v>3.3333333333333335</v>
      </c>
    </row>
    <row r="128" spans="1:12" x14ac:dyDescent="0.25">
      <c r="A128" s="1">
        <v>6</v>
      </c>
      <c r="B128" s="1">
        <v>13</v>
      </c>
      <c r="C128" s="1" t="s">
        <v>52</v>
      </c>
      <c r="D128" s="1" t="s">
        <v>57</v>
      </c>
      <c r="E128" s="1" t="s">
        <v>53</v>
      </c>
      <c r="F128">
        <v>14</v>
      </c>
      <c r="G128">
        <v>6</v>
      </c>
      <c r="H128" s="3">
        <f t="shared" si="6"/>
        <v>1.5393840000000002E-2</v>
      </c>
      <c r="I128" s="4">
        <f t="shared" si="7"/>
        <v>5.1312800000000013E-2</v>
      </c>
      <c r="J128" s="3">
        <f t="shared" si="8"/>
        <v>3.8647832879999997E-2</v>
      </c>
      <c r="K128" s="4">
        <f t="shared" si="9"/>
        <v>0.12882610959999999</v>
      </c>
      <c r="L128" s="4">
        <f t="shared" si="10"/>
        <v>3.3333333333333335</v>
      </c>
    </row>
    <row r="129" spans="1:12" x14ac:dyDescent="0.25">
      <c r="A129" s="1">
        <v>6</v>
      </c>
      <c r="B129" s="1">
        <v>14</v>
      </c>
      <c r="C129" s="1" t="s">
        <v>52</v>
      </c>
      <c r="D129" s="1" t="s">
        <v>57</v>
      </c>
      <c r="E129" s="1" t="s">
        <v>53</v>
      </c>
      <c r="F129">
        <v>10</v>
      </c>
      <c r="G129">
        <v>5</v>
      </c>
      <c r="H129" s="3">
        <f t="shared" si="6"/>
        <v>7.8540000000000016E-3</v>
      </c>
      <c r="I129" s="4">
        <f t="shared" si="7"/>
        <v>2.6180000000000005E-2</v>
      </c>
      <c r="J129" s="3">
        <f t="shared" si="8"/>
        <v>1.9310717679999999E-2</v>
      </c>
      <c r="K129" s="4">
        <f t="shared" si="9"/>
        <v>6.4369058933333334E-2</v>
      </c>
      <c r="L129" s="4">
        <f t="shared" si="10"/>
        <v>3.3333333333333335</v>
      </c>
    </row>
    <row r="130" spans="1:12" x14ac:dyDescent="0.25">
      <c r="A130" s="1">
        <v>6</v>
      </c>
      <c r="B130" s="1">
        <v>15</v>
      </c>
      <c r="C130" s="1" t="s">
        <v>52</v>
      </c>
      <c r="D130" s="1" t="s">
        <v>57</v>
      </c>
      <c r="E130" s="1" t="s">
        <v>53</v>
      </c>
      <c r="F130">
        <v>11</v>
      </c>
      <c r="G130">
        <v>5</v>
      </c>
      <c r="H130" s="3">
        <f t="shared" si="6"/>
        <v>9.503339999999999E-3</v>
      </c>
      <c r="I130" s="4">
        <f t="shared" si="7"/>
        <v>3.1677799999999999E-2</v>
      </c>
      <c r="J130" s="3">
        <f t="shared" si="8"/>
        <v>2.2314263679999998E-2</v>
      </c>
      <c r="K130" s="4">
        <f t="shared" si="9"/>
        <v>7.4380878933333325E-2</v>
      </c>
      <c r="L130" s="4">
        <f t="shared" si="10"/>
        <v>3.3333333333333335</v>
      </c>
    </row>
    <row r="131" spans="1:12" x14ac:dyDescent="0.25">
      <c r="A131" s="1">
        <v>6</v>
      </c>
      <c r="B131" s="1">
        <v>16</v>
      </c>
      <c r="C131" s="1" t="s">
        <v>52</v>
      </c>
      <c r="D131" s="1" t="s">
        <v>57</v>
      </c>
      <c r="E131" s="1" t="s">
        <v>53</v>
      </c>
      <c r="F131">
        <v>13</v>
      </c>
      <c r="G131">
        <v>7</v>
      </c>
      <c r="H131" s="3">
        <f t="shared" ref="H131:H136" si="13">0.7854*(F131/100)^2</f>
        <v>1.3273260000000002E-2</v>
      </c>
      <c r="I131" s="4">
        <f t="shared" ref="I131:I137" si="14">H131*1/0.3</f>
        <v>4.4244200000000011E-2</v>
      </c>
      <c r="J131" s="3">
        <f t="shared" ref="J131:J136" si="15">(0.00500811768+0.0000286052*(F131^2*G131))</f>
        <v>3.8848069280000001E-2</v>
      </c>
      <c r="K131" s="4">
        <f t="shared" ref="K131:K137" si="16">J131/0.3</f>
        <v>0.12949356426666667</v>
      </c>
      <c r="L131" s="4">
        <f t="shared" ref="L131:L137" si="17">1*1/0.3</f>
        <v>3.3333333333333335</v>
      </c>
    </row>
    <row r="132" spans="1:12" x14ac:dyDescent="0.25">
      <c r="A132" s="1">
        <v>6</v>
      </c>
      <c r="B132" s="1">
        <v>17</v>
      </c>
      <c r="C132" s="1" t="s">
        <v>52</v>
      </c>
      <c r="D132" s="1" t="s">
        <v>57</v>
      </c>
      <c r="E132" s="1" t="s">
        <v>53</v>
      </c>
      <c r="F132">
        <v>15</v>
      </c>
      <c r="G132">
        <v>6</v>
      </c>
      <c r="H132" s="3">
        <f t="shared" si="13"/>
        <v>1.76715E-2</v>
      </c>
      <c r="I132" s="4">
        <f t="shared" si="14"/>
        <v>5.8904999999999999E-2</v>
      </c>
      <c r="J132" s="3">
        <f t="shared" si="15"/>
        <v>4.3625137679999995E-2</v>
      </c>
      <c r="K132" s="4">
        <f t="shared" si="16"/>
        <v>0.1454171256</v>
      </c>
      <c r="L132" s="4">
        <f t="shared" si="17"/>
        <v>3.3333333333333335</v>
      </c>
    </row>
    <row r="133" spans="1:12" x14ac:dyDescent="0.25">
      <c r="A133" s="1">
        <v>6</v>
      </c>
      <c r="B133" s="1">
        <v>18</v>
      </c>
      <c r="C133" s="1" t="s">
        <v>52</v>
      </c>
      <c r="D133" s="1" t="s">
        <v>57</v>
      </c>
      <c r="E133" s="1" t="s">
        <v>53</v>
      </c>
      <c r="F133">
        <v>14</v>
      </c>
      <c r="G133">
        <v>7</v>
      </c>
      <c r="H133" s="3">
        <f t="shared" si="13"/>
        <v>1.5393840000000002E-2</v>
      </c>
      <c r="I133" s="4">
        <f t="shared" si="14"/>
        <v>5.1312800000000013E-2</v>
      </c>
      <c r="J133" s="3">
        <f t="shared" si="15"/>
        <v>4.4254452079999999E-2</v>
      </c>
      <c r="K133" s="4">
        <f t="shared" si="16"/>
        <v>0.14751484026666667</v>
      </c>
      <c r="L133" s="4">
        <f t="shared" si="17"/>
        <v>3.3333333333333335</v>
      </c>
    </row>
    <row r="134" spans="1:12" x14ac:dyDescent="0.25">
      <c r="A134" s="1">
        <v>6</v>
      </c>
      <c r="B134" s="1">
        <v>19</v>
      </c>
      <c r="C134" s="1" t="s">
        <v>58</v>
      </c>
      <c r="D134" s="1" t="s">
        <v>59</v>
      </c>
      <c r="E134" s="1" t="s">
        <v>53</v>
      </c>
      <c r="F134">
        <v>17</v>
      </c>
      <c r="G134">
        <v>8</v>
      </c>
      <c r="H134" s="3">
        <f t="shared" si="13"/>
        <v>2.2698060000000003E-2</v>
      </c>
      <c r="I134" s="4">
        <f t="shared" si="14"/>
        <v>7.5660200000000011E-2</v>
      </c>
      <c r="J134" s="3">
        <f>(0.0434084982+0.0000350901*(F134^2*G134))</f>
        <v>0.1245368094</v>
      </c>
      <c r="K134" s="4">
        <f t="shared" si="16"/>
        <v>0.41512269800000001</v>
      </c>
      <c r="L134" s="4">
        <f t="shared" si="17"/>
        <v>3.3333333333333335</v>
      </c>
    </row>
    <row r="135" spans="1:12" x14ac:dyDescent="0.25">
      <c r="A135" s="1">
        <v>6</v>
      </c>
      <c r="B135" s="1">
        <v>20</v>
      </c>
      <c r="C135" s="1" t="s">
        <v>58</v>
      </c>
      <c r="D135" s="1" t="s">
        <v>59</v>
      </c>
      <c r="E135" s="1" t="s">
        <v>53</v>
      </c>
      <c r="F135">
        <v>15</v>
      </c>
      <c r="G135">
        <v>7</v>
      </c>
      <c r="H135" s="3">
        <f t="shared" si="13"/>
        <v>1.76715E-2</v>
      </c>
      <c r="I135" s="4">
        <f t="shared" si="14"/>
        <v>5.8904999999999999E-2</v>
      </c>
      <c r="J135" s="3">
        <f>(0.0434084982+0.0000350901*(F135^2*G135))</f>
        <v>9.8675405699999996E-2</v>
      </c>
      <c r="K135" s="4">
        <f t="shared" si="16"/>
        <v>0.32891801900000001</v>
      </c>
      <c r="L135" s="4">
        <f t="shared" si="17"/>
        <v>3.3333333333333335</v>
      </c>
    </row>
    <row r="136" spans="1:12" x14ac:dyDescent="0.25">
      <c r="A136" s="1">
        <v>6</v>
      </c>
      <c r="B136" s="1">
        <v>21</v>
      </c>
      <c r="C136" s="1" t="s">
        <v>52</v>
      </c>
      <c r="D136" s="1" t="s">
        <v>57</v>
      </c>
      <c r="E136" s="1" t="s">
        <v>53</v>
      </c>
      <c r="F136">
        <v>13</v>
      </c>
      <c r="G136">
        <v>6</v>
      </c>
      <c r="H136" s="3">
        <f t="shared" si="13"/>
        <v>1.3273260000000002E-2</v>
      </c>
      <c r="I136" s="4">
        <f t="shared" si="14"/>
        <v>4.4244200000000011E-2</v>
      </c>
      <c r="J136" s="3">
        <f t="shared" si="15"/>
        <v>3.401379048E-2</v>
      </c>
      <c r="K136" s="4">
        <f t="shared" si="16"/>
        <v>0.11337930160000001</v>
      </c>
      <c r="L136" s="4">
        <f t="shared" si="17"/>
        <v>3.3333333333333335</v>
      </c>
    </row>
    <row r="137" spans="1:12" x14ac:dyDescent="0.25">
      <c r="A137" s="1">
        <v>6</v>
      </c>
      <c r="B137" s="1">
        <v>22</v>
      </c>
      <c r="C137" s="1" t="s">
        <v>58</v>
      </c>
      <c r="D137" s="1" t="s">
        <v>59</v>
      </c>
      <c r="E137" s="1" t="s">
        <v>62</v>
      </c>
      <c r="F137" s="1">
        <v>47</v>
      </c>
      <c r="G137" s="1">
        <v>20</v>
      </c>
      <c r="H137" s="3">
        <f>0.7854*(F137/100)^2</f>
        <v>0.17349485999999997</v>
      </c>
      <c r="I137" s="4">
        <f t="shared" si="14"/>
        <v>0.57831619999999995</v>
      </c>
      <c r="J137" s="3">
        <f>(0.0434084982+0.0000350901*(F137^2*G137))</f>
        <v>1.5936891162</v>
      </c>
      <c r="K137" s="4">
        <f t="shared" si="16"/>
        <v>5.3122970540000001</v>
      </c>
      <c r="L137" s="4">
        <f t="shared" si="17"/>
        <v>3.3333333333333335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1.2851562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5" t="s">
        <v>12</v>
      </c>
      <c r="B3" t="s">
        <v>14</v>
      </c>
    </row>
    <row r="4" spans="1:11" x14ac:dyDescent="0.25">
      <c r="A4" s="6" t="s">
        <v>57</v>
      </c>
      <c r="B4" s="8">
        <v>106</v>
      </c>
    </row>
    <row r="5" spans="1:11" x14ac:dyDescent="0.25">
      <c r="A5" s="7" t="s">
        <v>52</v>
      </c>
      <c r="B5" s="8">
        <v>106</v>
      </c>
    </row>
    <row r="6" spans="1:11" x14ac:dyDescent="0.25">
      <c r="A6" s="6" t="s">
        <v>56</v>
      </c>
      <c r="B6" s="8">
        <v>3</v>
      </c>
    </row>
    <row r="7" spans="1:11" x14ac:dyDescent="0.25">
      <c r="A7" s="7" t="s">
        <v>55</v>
      </c>
      <c r="B7" s="8">
        <v>3</v>
      </c>
    </row>
    <row r="8" spans="1:11" x14ac:dyDescent="0.25">
      <c r="A8" s="6" t="s">
        <v>59</v>
      </c>
      <c r="B8" s="8">
        <v>27</v>
      </c>
    </row>
    <row r="9" spans="1:11" x14ac:dyDescent="0.25">
      <c r="A9" s="7" t="s">
        <v>58</v>
      </c>
      <c r="B9" s="8">
        <v>27</v>
      </c>
    </row>
    <row r="10" spans="1:11" x14ac:dyDescent="0.25">
      <c r="A10" s="6" t="s">
        <v>13</v>
      </c>
      <c r="B10" s="8">
        <v>136</v>
      </c>
      <c r="K10">
        <f>0.15*100/1.34</f>
        <v>11.194029850746269</v>
      </c>
    </row>
    <row r="13" spans="1:11" ht="30" customHeight="1" x14ac:dyDescent="0.25">
      <c r="C13" s="22" t="s">
        <v>21</v>
      </c>
      <c r="D13" s="23" t="s">
        <v>22</v>
      </c>
      <c r="E13" s="23" t="s">
        <v>23</v>
      </c>
      <c r="F13" s="57" t="s">
        <v>24</v>
      </c>
      <c r="G13" s="56" t="s">
        <v>25</v>
      </c>
    </row>
    <row r="14" spans="1:11" x14ac:dyDescent="0.25">
      <c r="C14" s="10">
        <v>1</v>
      </c>
      <c r="D14" s="10" t="str">
        <f>A5</f>
        <v>Pino</v>
      </c>
      <c r="E14" s="11" t="str">
        <f>A4</f>
        <v>Pinus sp.</v>
      </c>
      <c r="F14" s="59">
        <f>GETPIVOTDATA("No. Arbol",$A$3,"Nombre común","Pino","Especie","Pinus sp.")</f>
        <v>106</v>
      </c>
      <c r="G14" s="12">
        <f>F14/F17*100</f>
        <v>77.941176470588232</v>
      </c>
    </row>
    <row r="15" spans="1:11" x14ac:dyDescent="0.25">
      <c r="C15" s="10">
        <v>2</v>
      </c>
      <c r="D15" s="10" t="str">
        <f>A7</f>
        <v>Aliso</v>
      </c>
      <c r="E15" s="11" t="str">
        <f>A6</f>
        <v>Alnus sp.</v>
      </c>
      <c r="F15" s="59">
        <f>GETPIVOTDATA("No. Arbol",$A$3,"Nombre común","Aliso","Especie","Alnus sp.")</f>
        <v>3</v>
      </c>
      <c r="G15" s="12">
        <f>F15/F17*100</f>
        <v>2.2058823529411766</v>
      </c>
    </row>
    <row r="16" spans="1:11" x14ac:dyDescent="0.25">
      <c r="C16" s="10">
        <v>3</v>
      </c>
      <c r="D16" s="10" t="str">
        <f>A9</f>
        <v>Pinabete</v>
      </c>
      <c r="E16" s="11" t="str">
        <f>A8</f>
        <v>Abies guatemalensis</v>
      </c>
      <c r="F16" s="59">
        <f>GETPIVOTDATA("No. Arbol",$A$3,"Nombre común","Pinabete","Especie","Abies guatemalensis")</f>
        <v>27</v>
      </c>
      <c r="G16" s="12">
        <f>F16/F17*100</f>
        <v>19.852941176470587</v>
      </c>
    </row>
    <row r="17" spans="3:7" x14ac:dyDescent="0.25">
      <c r="C17" s="71" t="s">
        <v>26</v>
      </c>
      <c r="D17" s="71"/>
      <c r="E17" s="71"/>
      <c r="F17" s="60">
        <f>SUM(F14:F16)</f>
        <v>136</v>
      </c>
      <c r="G17" s="25">
        <f>F17/F17*100</f>
        <v>100</v>
      </c>
    </row>
  </sheetData>
  <mergeCells count="1">
    <mergeCell ref="C17:E17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zoomScale="69" zoomScaleNormal="69" workbookViewId="0"/>
  </sheetViews>
  <sheetFormatPr baseColWidth="10" defaultColWidth="11.42578125" defaultRowHeight="15" x14ac:dyDescent="0.25"/>
  <cols>
    <col min="3" max="3" width="16.7109375" customWidth="1"/>
    <col min="5" max="5" width="17.5703125" customWidth="1"/>
    <col min="7" max="7" width="12" customWidth="1"/>
    <col min="8" max="8" width="16.7109375" customWidth="1"/>
    <col min="10" max="10" width="15.7109375" customWidth="1"/>
    <col min="11" max="11" width="14.85546875" customWidth="1"/>
    <col min="12" max="12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52</v>
      </c>
      <c r="D2" t="s">
        <v>57</v>
      </c>
      <c r="E2" t="s">
        <v>53</v>
      </c>
      <c r="F2">
        <v>15</v>
      </c>
      <c r="G2">
        <v>6</v>
      </c>
      <c r="H2">
        <v>1.76715E-2</v>
      </c>
      <c r="I2">
        <v>5.8904999999999999E-2</v>
      </c>
      <c r="J2">
        <v>4.3625137679999995E-2</v>
      </c>
      <c r="K2">
        <v>0.1454171256</v>
      </c>
      <c r="L2">
        <v>3.3333333333333335</v>
      </c>
    </row>
    <row r="3" spans="1:12" x14ac:dyDescent="0.25">
      <c r="A3">
        <v>1</v>
      </c>
      <c r="B3">
        <v>2</v>
      </c>
      <c r="C3" t="s">
        <v>52</v>
      </c>
      <c r="D3" t="s">
        <v>57</v>
      </c>
      <c r="E3" t="s">
        <v>53</v>
      </c>
      <c r="F3">
        <v>17</v>
      </c>
      <c r="G3">
        <v>7</v>
      </c>
      <c r="H3">
        <v>2.2698060000000003E-2</v>
      </c>
      <c r="I3">
        <v>7.5660200000000011E-2</v>
      </c>
      <c r="J3">
        <v>6.2876437280000003E-2</v>
      </c>
      <c r="K3">
        <v>0.20958812426666668</v>
      </c>
      <c r="L3">
        <v>3.3333333333333335</v>
      </c>
    </row>
    <row r="4" spans="1:12" x14ac:dyDescent="0.25">
      <c r="A4">
        <v>1</v>
      </c>
      <c r="B4">
        <v>3</v>
      </c>
      <c r="C4" t="s">
        <v>52</v>
      </c>
      <c r="D4" t="s">
        <v>57</v>
      </c>
      <c r="E4" t="s">
        <v>53</v>
      </c>
      <c r="F4">
        <v>15</v>
      </c>
      <c r="G4">
        <v>7</v>
      </c>
      <c r="H4">
        <v>1.76715E-2</v>
      </c>
      <c r="I4">
        <v>5.8904999999999999E-2</v>
      </c>
      <c r="J4">
        <v>5.006130768E-2</v>
      </c>
      <c r="K4">
        <v>0.1668710256</v>
      </c>
      <c r="L4">
        <v>3.3333333333333335</v>
      </c>
    </row>
    <row r="5" spans="1:12" x14ac:dyDescent="0.25">
      <c r="A5">
        <v>1</v>
      </c>
      <c r="B5">
        <v>4</v>
      </c>
      <c r="C5" t="s">
        <v>52</v>
      </c>
      <c r="D5" t="s">
        <v>57</v>
      </c>
      <c r="E5" t="s">
        <v>53</v>
      </c>
      <c r="F5">
        <v>13</v>
      </c>
      <c r="G5">
        <v>6</v>
      </c>
      <c r="H5">
        <v>1.3273260000000002E-2</v>
      </c>
      <c r="I5">
        <v>4.4244200000000011E-2</v>
      </c>
      <c r="J5">
        <v>3.401379048E-2</v>
      </c>
      <c r="K5">
        <v>0.11337930160000001</v>
      </c>
      <c r="L5">
        <v>3.3333333333333335</v>
      </c>
    </row>
    <row r="6" spans="1:12" x14ac:dyDescent="0.25">
      <c r="A6">
        <v>1</v>
      </c>
      <c r="B6">
        <v>5</v>
      </c>
      <c r="C6" t="s">
        <v>52</v>
      </c>
      <c r="D6" t="s">
        <v>57</v>
      </c>
      <c r="E6" t="s">
        <v>53</v>
      </c>
      <c r="F6">
        <v>14</v>
      </c>
      <c r="G6">
        <v>7</v>
      </c>
      <c r="H6">
        <v>1.5393840000000002E-2</v>
      </c>
      <c r="I6">
        <v>5.1312800000000013E-2</v>
      </c>
      <c r="J6">
        <v>4.4254452079999999E-2</v>
      </c>
      <c r="K6">
        <v>0.14751484026666667</v>
      </c>
      <c r="L6">
        <v>3.3333333333333335</v>
      </c>
    </row>
    <row r="7" spans="1:12" x14ac:dyDescent="0.25">
      <c r="A7">
        <v>1</v>
      </c>
      <c r="B7">
        <v>6</v>
      </c>
      <c r="C7" t="s">
        <v>52</v>
      </c>
      <c r="D7" t="s">
        <v>57</v>
      </c>
      <c r="E7" t="s">
        <v>53</v>
      </c>
      <c r="F7">
        <v>10</v>
      </c>
      <c r="G7">
        <v>5</v>
      </c>
      <c r="H7">
        <v>7.8540000000000016E-3</v>
      </c>
      <c r="I7">
        <v>2.6180000000000005E-2</v>
      </c>
      <c r="J7">
        <v>1.9310717679999999E-2</v>
      </c>
      <c r="K7">
        <v>6.4369058933333334E-2</v>
      </c>
      <c r="L7">
        <v>3.3333333333333335</v>
      </c>
    </row>
    <row r="8" spans="1:12" x14ac:dyDescent="0.25">
      <c r="A8">
        <v>1</v>
      </c>
      <c r="B8">
        <v>7</v>
      </c>
      <c r="C8" t="s">
        <v>52</v>
      </c>
      <c r="D8" t="s">
        <v>57</v>
      </c>
      <c r="E8" t="s">
        <v>53</v>
      </c>
      <c r="F8">
        <v>18</v>
      </c>
      <c r="G8">
        <v>7</v>
      </c>
      <c r="H8">
        <v>2.5446959999999998E-2</v>
      </c>
      <c r="I8">
        <v>8.4823200000000001E-2</v>
      </c>
      <c r="J8">
        <v>6.9884711279999984E-2</v>
      </c>
      <c r="K8">
        <v>0.23294903759999996</v>
      </c>
      <c r="L8">
        <v>3.3333333333333335</v>
      </c>
    </row>
    <row r="9" spans="1:12" x14ac:dyDescent="0.25">
      <c r="A9">
        <v>1</v>
      </c>
      <c r="B9">
        <v>8</v>
      </c>
      <c r="C9" t="s">
        <v>52</v>
      </c>
      <c r="D9" t="s">
        <v>57</v>
      </c>
      <c r="E9" t="s">
        <v>53</v>
      </c>
      <c r="F9">
        <v>10</v>
      </c>
      <c r="G9">
        <v>5</v>
      </c>
      <c r="H9">
        <v>7.8540000000000016E-3</v>
      </c>
      <c r="I9">
        <v>2.6180000000000005E-2</v>
      </c>
      <c r="J9">
        <v>1.9310717679999999E-2</v>
      </c>
      <c r="K9">
        <v>6.4369058933333334E-2</v>
      </c>
      <c r="L9">
        <v>3.3333333333333335</v>
      </c>
    </row>
    <row r="10" spans="1:12" x14ac:dyDescent="0.25">
      <c r="A10">
        <v>1</v>
      </c>
      <c r="B10">
        <v>10</v>
      </c>
      <c r="C10" t="s">
        <v>52</v>
      </c>
      <c r="D10" t="s">
        <v>57</v>
      </c>
      <c r="E10" t="s">
        <v>53</v>
      </c>
      <c r="F10">
        <v>11</v>
      </c>
      <c r="G10">
        <v>5</v>
      </c>
      <c r="H10">
        <v>9.503339999999999E-3</v>
      </c>
      <c r="I10">
        <v>3.1677799999999999E-2</v>
      </c>
      <c r="J10">
        <v>2.2314263679999998E-2</v>
      </c>
      <c r="K10">
        <v>7.4380878933333325E-2</v>
      </c>
      <c r="L10">
        <v>3.3333333333333335</v>
      </c>
    </row>
    <row r="11" spans="1:12" x14ac:dyDescent="0.25">
      <c r="A11">
        <v>1</v>
      </c>
      <c r="B11">
        <v>11</v>
      </c>
      <c r="C11" t="s">
        <v>52</v>
      </c>
      <c r="D11" t="s">
        <v>57</v>
      </c>
      <c r="E11" t="s">
        <v>53</v>
      </c>
      <c r="F11">
        <v>12</v>
      </c>
      <c r="G11">
        <v>6</v>
      </c>
      <c r="H11">
        <v>1.130976E-2</v>
      </c>
      <c r="I11">
        <v>3.7699200000000002E-2</v>
      </c>
      <c r="J11">
        <v>2.9723010479999999E-2</v>
      </c>
      <c r="K11">
        <v>9.9076701599999997E-2</v>
      </c>
      <c r="L11">
        <v>3.3333333333333335</v>
      </c>
    </row>
    <row r="12" spans="1:12" x14ac:dyDescent="0.25">
      <c r="A12">
        <v>1</v>
      </c>
      <c r="B12">
        <v>12</v>
      </c>
      <c r="C12" t="s">
        <v>52</v>
      </c>
      <c r="D12" t="s">
        <v>57</v>
      </c>
      <c r="E12" t="s">
        <v>53</v>
      </c>
      <c r="F12">
        <v>10</v>
      </c>
      <c r="G12">
        <v>6</v>
      </c>
      <c r="H12">
        <v>7.8540000000000016E-3</v>
      </c>
      <c r="I12">
        <v>2.6180000000000005E-2</v>
      </c>
      <c r="J12">
        <v>2.2171237680000001E-2</v>
      </c>
      <c r="K12">
        <v>7.3904125600000009E-2</v>
      </c>
      <c r="L12">
        <v>3.3333333333333335</v>
      </c>
    </row>
    <row r="13" spans="1:12" x14ac:dyDescent="0.25">
      <c r="A13">
        <v>1</v>
      </c>
      <c r="B13">
        <v>13</v>
      </c>
      <c r="C13" t="s">
        <v>52</v>
      </c>
      <c r="D13" t="s">
        <v>57</v>
      </c>
      <c r="E13" t="s">
        <v>53</v>
      </c>
      <c r="F13">
        <v>13</v>
      </c>
      <c r="G13">
        <v>7</v>
      </c>
      <c r="H13">
        <v>1.3273260000000002E-2</v>
      </c>
      <c r="I13">
        <v>4.4244200000000011E-2</v>
      </c>
      <c r="J13">
        <v>3.8848069280000001E-2</v>
      </c>
      <c r="K13">
        <v>0.12949356426666667</v>
      </c>
      <c r="L13">
        <v>3.3333333333333335</v>
      </c>
    </row>
    <row r="14" spans="1:12" x14ac:dyDescent="0.25">
      <c r="A14">
        <v>1</v>
      </c>
      <c r="B14">
        <v>14</v>
      </c>
      <c r="C14" t="s">
        <v>52</v>
      </c>
      <c r="D14" t="s">
        <v>57</v>
      </c>
      <c r="E14" t="s">
        <v>53</v>
      </c>
      <c r="F14">
        <v>10</v>
      </c>
      <c r="G14">
        <v>4</v>
      </c>
      <c r="H14">
        <v>7.8540000000000016E-3</v>
      </c>
      <c r="I14">
        <v>2.6180000000000005E-2</v>
      </c>
      <c r="J14">
        <v>1.645019768E-2</v>
      </c>
      <c r="K14">
        <v>5.4833992266666673E-2</v>
      </c>
      <c r="L14">
        <v>3.3333333333333335</v>
      </c>
    </row>
    <row r="15" spans="1:12" x14ac:dyDescent="0.25">
      <c r="A15">
        <v>1</v>
      </c>
      <c r="B15">
        <v>15</v>
      </c>
      <c r="C15" t="s">
        <v>52</v>
      </c>
      <c r="D15" t="s">
        <v>57</v>
      </c>
      <c r="E15" t="s">
        <v>53</v>
      </c>
      <c r="F15">
        <v>14</v>
      </c>
      <c r="G15">
        <v>7</v>
      </c>
      <c r="H15">
        <v>1.5393840000000002E-2</v>
      </c>
      <c r="I15">
        <v>5.1312800000000013E-2</v>
      </c>
      <c r="J15">
        <v>4.4254452079999999E-2</v>
      </c>
      <c r="K15">
        <v>0.14751484026666667</v>
      </c>
      <c r="L15">
        <v>3.3333333333333335</v>
      </c>
    </row>
    <row r="16" spans="1:12" x14ac:dyDescent="0.25">
      <c r="A16">
        <v>1</v>
      </c>
      <c r="B16">
        <v>16</v>
      </c>
      <c r="C16" t="s">
        <v>52</v>
      </c>
      <c r="D16" t="s">
        <v>57</v>
      </c>
      <c r="E16" t="s">
        <v>53</v>
      </c>
      <c r="F16">
        <v>12</v>
      </c>
      <c r="G16">
        <v>6</v>
      </c>
      <c r="H16">
        <v>1.130976E-2</v>
      </c>
      <c r="I16">
        <v>3.7699200000000002E-2</v>
      </c>
      <c r="J16">
        <v>2.9723010479999999E-2</v>
      </c>
      <c r="K16">
        <v>9.9076701599999997E-2</v>
      </c>
      <c r="L16">
        <v>3.3333333333333335</v>
      </c>
    </row>
    <row r="17" spans="1:12" x14ac:dyDescent="0.25">
      <c r="A17">
        <v>1</v>
      </c>
      <c r="B17">
        <v>17</v>
      </c>
      <c r="C17" t="s">
        <v>52</v>
      </c>
      <c r="D17" t="s">
        <v>57</v>
      </c>
      <c r="E17" t="s">
        <v>53</v>
      </c>
      <c r="F17">
        <v>14</v>
      </c>
      <c r="G17">
        <v>7</v>
      </c>
      <c r="H17">
        <v>1.5393840000000002E-2</v>
      </c>
      <c r="I17">
        <v>5.1312800000000013E-2</v>
      </c>
      <c r="J17">
        <v>4.4254452079999999E-2</v>
      </c>
      <c r="K17">
        <v>0.14751484026666667</v>
      </c>
      <c r="L17">
        <v>3.3333333333333335</v>
      </c>
    </row>
    <row r="18" spans="1:12" x14ac:dyDescent="0.25">
      <c r="A18">
        <v>1</v>
      </c>
      <c r="B18">
        <v>18</v>
      </c>
      <c r="C18" t="s">
        <v>52</v>
      </c>
      <c r="D18" t="s">
        <v>57</v>
      </c>
      <c r="E18" t="s">
        <v>53</v>
      </c>
      <c r="F18">
        <v>11</v>
      </c>
      <c r="G18">
        <v>5</v>
      </c>
      <c r="H18">
        <v>9.503339999999999E-3</v>
      </c>
      <c r="I18">
        <v>3.1677799999999999E-2</v>
      </c>
      <c r="J18">
        <v>2.2314263679999998E-2</v>
      </c>
      <c r="K18">
        <v>7.4380878933333325E-2</v>
      </c>
      <c r="L18">
        <v>3.3333333333333335</v>
      </c>
    </row>
    <row r="19" spans="1:12" x14ac:dyDescent="0.25">
      <c r="A19">
        <v>1</v>
      </c>
      <c r="B19">
        <v>19</v>
      </c>
      <c r="C19" t="s">
        <v>52</v>
      </c>
      <c r="D19" t="s">
        <v>57</v>
      </c>
      <c r="E19" t="s">
        <v>53</v>
      </c>
      <c r="F19">
        <v>16</v>
      </c>
      <c r="G19">
        <v>8</v>
      </c>
      <c r="H19">
        <v>2.0106240000000001E-2</v>
      </c>
      <c r="I19">
        <v>6.7020800000000005E-2</v>
      </c>
      <c r="J19">
        <v>6.3591567279999997E-2</v>
      </c>
      <c r="K19">
        <v>0.21197189093333332</v>
      </c>
      <c r="L19">
        <v>3.3333333333333335</v>
      </c>
    </row>
    <row r="20" spans="1:12" x14ac:dyDescent="0.25">
      <c r="A20">
        <v>1</v>
      </c>
      <c r="B20">
        <v>20</v>
      </c>
      <c r="C20" t="s">
        <v>52</v>
      </c>
      <c r="D20" t="s">
        <v>57</v>
      </c>
      <c r="E20" t="s">
        <v>53</v>
      </c>
      <c r="F20">
        <v>10</v>
      </c>
      <c r="G20">
        <v>5</v>
      </c>
      <c r="H20">
        <v>7.8540000000000016E-3</v>
      </c>
      <c r="I20">
        <v>2.6180000000000005E-2</v>
      </c>
      <c r="J20">
        <v>1.9310717679999999E-2</v>
      </c>
      <c r="K20">
        <v>6.4369058933333334E-2</v>
      </c>
      <c r="L20">
        <v>3.3333333333333335</v>
      </c>
    </row>
    <row r="21" spans="1:12" x14ac:dyDescent="0.25">
      <c r="A21">
        <v>1</v>
      </c>
      <c r="B21">
        <v>21</v>
      </c>
      <c r="C21" t="s">
        <v>52</v>
      </c>
      <c r="D21" t="s">
        <v>57</v>
      </c>
      <c r="E21" t="s">
        <v>53</v>
      </c>
      <c r="F21">
        <v>13</v>
      </c>
      <c r="G21">
        <v>7</v>
      </c>
      <c r="H21">
        <v>1.3273260000000002E-2</v>
      </c>
      <c r="I21">
        <v>4.4244200000000011E-2</v>
      </c>
      <c r="J21">
        <v>3.8848069280000001E-2</v>
      </c>
      <c r="K21">
        <v>0.12949356426666667</v>
      </c>
      <c r="L21">
        <v>3.3333333333333335</v>
      </c>
    </row>
    <row r="22" spans="1:12" x14ac:dyDescent="0.25">
      <c r="A22">
        <v>1</v>
      </c>
      <c r="B22">
        <v>22</v>
      </c>
      <c r="C22" t="s">
        <v>52</v>
      </c>
      <c r="D22" t="s">
        <v>57</v>
      </c>
      <c r="E22" t="s">
        <v>53</v>
      </c>
      <c r="F22">
        <v>18</v>
      </c>
      <c r="G22">
        <v>8</v>
      </c>
      <c r="H22">
        <v>2.5446959999999998E-2</v>
      </c>
      <c r="I22">
        <v>8.4823200000000001E-2</v>
      </c>
      <c r="J22">
        <v>7.9152796080000004E-2</v>
      </c>
      <c r="K22">
        <v>0.26384265360000003</v>
      </c>
      <c r="L22">
        <v>3.3333333333333335</v>
      </c>
    </row>
    <row r="23" spans="1:12" x14ac:dyDescent="0.25">
      <c r="A23">
        <v>1</v>
      </c>
      <c r="B23">
        <v>23</v>
      </c>
      <c r="C23" t="s">
        <v>52</v>
      </c>
      <c r="D23" t="s">
        <v>57</v>
      </c>
      <c r="E23" t="s">
        <v>53</v>
      </c>
      <c r="F23">
        <v>15</v>
      </c>
      <c r="G23">
        <v>7</v>
      </c>
      <c r="H23">
        <v>1.76715E-2</v>
      </c>
      <c r="I23">
        <v>5.8904999999999999E-2</v>
      </c>
      <c r="J23">
        <v>5.006130768E-2</v>
      </c>
      <c r="K23">
        <v>0.1668710256</v>
      </c>
      <c r="L23">
        <v>3.3333333333333335</v>
      </c>
    </row>
    <row r="24" spans="1:12" x14ac:dyDescent="0.25">
      <c r="A24">
        <v>1</v>
      </c>
      <c r="B24">
        <v>24</v>
      </c>
      <c r="C24" t="s">
        <v>52</v>
      </c>
      <c r="D24" t="s">
        <v>57</v>
      </c>
      <c r="E24" t="s">
        <v>53</v>
      </c>
      <c r="F24">
        <v>17</v>
      </c>
      <c r="G24">
        <v>8</v>
      </c>
      <c r="H24">
        <v>2.2698060000000003E-2</v>
      </c>
      <c r="I24">
        <v>7.5660200000000011E-2</v>
      </c>
      <c r="J24">
        <v>7.1143340080000006E-2</v>
      </c>
      <c r="K24">
        <v>0.23714446693333335</v>
      </c>
      <c r="L24">
        <v>3.3333333333333335</v>
      </c>
    </row>
    <row r="25" spans="1:12" x14ac:dyDescent="0.25">
      <c r="A25">
        <v>1</v>
      </c>
      <c r="B25">
        <v>25</v>
      </c>
      <c r="C25" t="s">
        <v>52</v>
      </c>
      <c r="D25" t="s">
        <v>57</v>
      </c>
      <c r="E25" t="s">
        <v>53</v>
      </c>
      <c r="F25">
        <v>13</v>
      </c>
      <c r="G25">
        <v>6</v>
      </c>
      <c r="H25">
        <v>1.3273260000000002E-2</v>
      </c>
      <c r="I25">
        <v>4.4244200000000011E-2</v>
      </c>
      <c r="J25">
        <v>3.401379048E-2</v>
      </c>
      <c r="K25">
        <v>0.11337930160000001</v>
      </c>
      <c r="L25">
        <v>3.3333333333333335</v>
      </c>
    </row>
    <row r="26" spans="1:12" x14ac:dyDescent="0.25">
      <c r="A26">
        <v>1</v>
      </c>
      <c r="B26">
        <v>26</v>
      </c>
      <c r="C26" t="s">
        <v>52</v>
      </c>
      <c r="D26" t="s">
        <v>57</v>
      </c>
      <c r="E26" t="s">
        <v>53</v>
      </c>
      <c r="F26">
        <v>10</v>
      </c>
      <c r="G26">
        <v>5</v>
      </c>
      <c r="H26">
        <v>7.8540000000000016E-3</v>
      </c>
      <c r="I26">
        <v>2.6180000000000005E-2</v>
      </c>
      <c r="J26">
        <v>1.9310717679999999E-2</v>
      </c>
      <c r="K26">
        <v>6.4369058933333334E-2</v>
      </c>
      <c r="L26">
        <v>3.3333333333333335</v>
      </c>
    </row>
    <row r="27" spans="1:12" x14ac:dyDescent="0.25">
      <c r="A27">
        <v>1</v>
      </c>
      <c r="B27">
        <v>27</v>
      </c>
      <c r="C27" t="s">
        <v>52</v>
      </c>
      <c r="D27" t="s">
        <v>57</v>
      </c>
      <c r="E27" t="s">
        <v>53</v>
      </c>
      <c r="F27">
        <v>18</v>
      </c>
      <c r="G27">
        <v>9</v>
      </c>
      <c r="H27">
        <v>2.5446959999999998E-2</v>
      </c>
      <c r="I27">
        <v>8.4823200000000001E-2</v>
      </c>
      <c r="J27">
        <v>8.8420880879999997E-2</v>
      </c>
      <c r="K27">
        <v>0.29473626959999999</v>
      </c>
      <c r="L27">
        <v>3.3333333333333335</v>
      </c>
    </row>
    <row r="28" spans="1:12" x14ac:dyDescent="0.25">
      <c r="A28">
        <v>2</v>
      </c>
      <c r="B28">
        <v>1</v>
      </c>
      <c r="C28" t="s">
        <v>52</v>
      </c>
      <c r="D28" t="s">
        <v>57</v>
      </c>
      <c r="E28" t="s">
        <v>53</v>
      </c>
      <c r="F28">
        <v>15</v>
      </c>
      <c r="G28">
        <v>5</v>
      </c>
      <c r="H28">
        <v>1.76715E-2</v>
      </c>
      <c r="I28">
        <v>5.8904999999999999E-2</v>
      </c>
      <c r="J28">
        <v>3.7188967679999997E-2</v>
      </c>
      <c r="K28">
        <v>0.12396322559999999</v>
      </c>
      <c r="L28">
        <v>3.3333333333333335</v>
      </c>
    </row>
    <row r="29" spans="1:12" x14ac:dyDescent="0.25">
      <c r="A29">
        <v>2</v>
      </c>
      <c r="B29">
        <v>2</v>
      </c>
      <c r="C29" t="s">
        <v>52</v>
      </c>
      <c r="D29" t="s">
        <v>57</v>
      </c>
      <c r="E29" t="s">
        <v>53</v>
      </c>
      <c r="F29">
        <v>17</v>
      </c>
      <c r="G29">
        <v>7</v>
      </c>
      <c r="H29">
        <v>2.2698060000000003E-2</v>
      </c>
      <c r="I29">
        <v>7.5660200000000011E-2</v>
      </c>
      <c r="J29">
        <v>6.2876437280000003E-2</v>
      </c>
      <c r="K29">
        <v>0.20958812426666668</v>
      </c>
      <c r="L29">
        <v>3.3333333333333335</v>
      </c>
    </row>
    <row r="30" spans="1:12" x14ac:dyDescent="0.25">
      <c r="A30">
        <v>2</v>
      </c>
      <c r="B30">
        <v>3</v>
      </c>
      <c r="C30" t="s">
        <v>52</v>
      </c>
      <c r="D30" t="s">
        <v>57</v>
      </c>
      <c r="E30" t="s">
        <v>53</v>
      </c>
      <c r="F30">
        <v>19</v>
      </c>
      <c r="G30">
        <v>8</v>
      </c>
      <c r="H30">
        <v>2.835294E-2</v>
      </c>
      <c r="I30">
        <v>9.4509800000000005E-2</v>
      </c>
      <c r="J30">
        <v>8.7619935280000005E-2</v>
      </c>
      <c r="K30">
        <v>0.29206645093333339</v>
      </c>
      <c r="L30">
        <v>3.3333333333333335</v>
      </c>
    </row>
    <row r="31" spans="1:12" x14ac:dyDescent="0.25">
      <c r="A31">
        <v>2</v>
      </c>
      <c r="B31">
        <v>4</v>
      </c>
      <c r="C31" t="s">
        <v>52</v>
      </c>
      <c r="D31" t="s">
        <v>57</v>
      </c>
      <c r="E31" t="s">
        <v>53</v>
      </c>
      <c r="F31">
        <v>10</v>
      </c>
      <c r="G31">
        <v>5</v>
      </c>
      <c r="H31">
        <v>7.8540000000000016E-3</v>
      </c>
      <c r="I31">
        <v>2.6180000000000005E-2</v>
      </c>
      <c r="J31">
        <v>1.9310717679999999E-2</v>
      </c>
      <c r="K31">
        <v>6.4369058933333334E-2</v>
      </c>
      <c r="L31">
        <v>3.3333333333333335</v>
      </c>
    </row>
    <row r="32" spans="1:12" x14ac:dyDescent="0.25">
      <c r="A32">
        <v>2</v>
      </c>
      <c r="B32">
        <v>5</v>
      </c>
      <c r="C32" t="s">
        <v>52</v>
      </c>
      <c r="D32" t="s">
        <v>57</v>
      </c>
      <c r="E32" t="s">
        <v>53</v>
      </c>
      <c r="F32">
        <v>16</v>
      </c>
      <c r="G32">
        <v>7</v>
      </c>
      <c r="H32">
        <v>2.0106240000000001E-2</v>
      </c>
      <c r="I32">
        <v>6.7020800000000005E-2</v>
      </c>
      <c r="J32">
        <v>5.6268636079999997E-2</v>
      </c>
      <c r="K32">
        <v>0.18756212026666666</v>
      </c>
      <c r="L32">
        <v>3.3333333333333335</v>
      </c>
    </row>
    <row r="33" spans="1:12" x14ac:dyDescent="0.25">
      <c r="A33">
        <v>2</v>
      </c>
      <c r="B33">
        <v>6</v>
      </c>
      <c r="C33" t="s">
        <v>52</v>
      </c>
      <c r="D33" t="s">
        <v>57</v>
      </c>
      <c r="E33" t="s">
        <v>53</v>
      </c>
      <c r="F33">
        <v>14</v>
      </c>
      <c r="G33">
        <v>6</v>
      </c>
      <c r="H33">
        <v>1.5393840000000002E-2</v>
      </c>
      <c r="I33">
        <v>5.1312800000000013E-2</v>
      </c>
      <c r="J33">
        <v>3.8647832879999997E-2</v>
      </c>
      <c r="K33">
        <v>0.12882610959999999</v>
      </c>
      <c r="L33">
        <v>3.3333333333333335</v>
      </c>
    </row>
    <row r="34" spans="1:12" x14ac:dyDescent="0.25">
      <c r="A34">
        <v>2</v>
      </c>
      <c r="B34">
        <v>7</v>
      </c>
      <c r="C34" t="s">
        <v>52</v>
      </c>
      <c r="D34" t="s">
        <v>57</v>
      </c>
      <c r="E34" t="s">
        <v>53</v>
      </c>
      <c r="F34">
        <v>12</v>
      </c>
      <c r="G34">
        <v>6</v>
      </c>
      <c r="H34">
        <v>1.130976E-2</v>
      </c>
      <c r="I34">
        <v>3.7699200000000002E-2</v>
      </c>
      <c r="J34">
        <v>2.9723010479999999E-2</v>
      </c>
      <c r="K34">
        <v>9.9076701599999997E-2</v>
      </c>
      <c r="L34">
        <v>3.3333333333333335</v>
      </c>
    </row>
    <row r="35" spans="1:12" x14ac:dyDescent="0.25">
      <c r="A35">
        <v>2</v>
      </c>
      <c r="B35">
        <v>9</v>
      </c>
      <c r="C35" t="s">
        <v>52</v>
      </c>
      <c r="D35" t="s">
        <v>57</v>
      </c>
      <c r="E35" t="s">
        <v>53</v>
      </c>
      <c r="F35">
        <v>14</v>
      </c>
      <c r="G35">
        <v>7</v>
      </c>
      <c r="H35">
        <v>1.5393840000000002E-2</v>
      </c>
      <c r="I35">
        <v>5.1312800000000013E-2</v>
      </c>
      <c r="J35">
        <v>4.4254452079999999E-2</v>
      </c>
      <c r="K35">
        <v>0.14751484026666667</v>
      </c>
      <c r="L35">
        <v>3.3333333333333335</v>
      </c>
    </row>
    <row r="36" spans="1:12" x14ac:dyDescent="0.25">
      <c r="A36">
        <v>2</v>
      </c>
      <c r="B36">
        <v>11</v>
      </c>
      <c r="C36" t="s">
        <v>52</v>
      </c>
      <c r="D36" t="s">
        <v>57</v>
      </c>
      <c r="E36" t="s">
        <v>53</v>
      </c>
      <c r="F36">
        <v>17</v>
      </c>
      <c r="G36">
        <v>8</v>
      </c>
      <c r="H36">
        <v>2.2698060000000003E-2</v>
      </c>
      <c r="I36">
        <v>7.5660200000000011E-2</v>
      </c>
      <c r="J36">
        <v>7.1143340080000006E-2</v>
      </c>
      <c r="K36">
        <v>0.23714446693333335</v>
      </c>
      <c r="L36">
        <v>3.3333333333333335</v>
      </c>
    </row>
    <row r="37" spans="1:12" x14ac:dyDescent="0.25">
      <c r="A37">
        <v>2</v>
      </c>
      <c r="B37">
        <v>12</v>
      </c>
      <c r="C37" t="s">
        <v>52</v>
      </c>
      <c r="D37" t="s">
        <v>57</v>
      </c>
      <c r="E37" t="s">
        <v>53</v>
      </c>
      <c r="F37">
        <v>12</v>
      </c>
      <c r="G37">
        <v>5</v>
      </c>
      <c r="H37">
        <v>1.130976E-2</v>
      </c>
      <c r="I37">
        <v>3.7699200000000002E-2</v>
      </c>
      <c r="J37">
        <v>2.5603861679999999E-2</v>
      </c>
      <c r="K37">
        <v>8.5346205600000002E-2</v>
      </c>
      <c r="L37">
        <v>3.3333333333333335</v>
      </c>
    </row>
    <row r="38" spans="1:12" x14ac:dyDescent="0.25">
      <c r="A38">
        <v>2</v>
      </c>
      <c r="B38">
        <v>13</v>
      </c>
      <c r="C38" t="s">
        <v>52</v>
      </c>
      <c r="D38" t="s">
        <v>57</v>
      </c>
      <c r="E38" t="s">
        <v>54</v>
      </c>
      <c r="F38">
        <v>20</v>
      </c>
      <c r="G38">
        <v>10</v>
      </c>
      <c r="H38">
        <v>3.1416000000000006E-2</v>
      </c>
      <c r="I38">
        <v>0.10472000000000002</v>
      </c>
      <c r="J38">
        <v>0.11942891768</v>
      </c>
      <c r="K38">
        <v>0.39809639226666665</v>
      </c>
      <c r="L38">
        <v>3.3333333333333335</v>
      </c>
    </row>
    <row r="39" spans="1:12" x14ac:dyDescent="0.25">
      <c r="A39">
        <v>2</v>
      </c>
      <c r="B39">
        <v>15</v>
      </c>
      <c r="C39" t="s">
        <v>52</v>
      </c>
      <c r="D39" t="s">
        <v>57</v>
      </c>
      <c r="E39" t="s">
        <v>53</v>
      </c>
      <c r="F39">
        <v>17</v>
      </c>
      <c r="G39">
        <v>8</v>
      </c>
      <c r="H39">
        <v>2.2698060000000003E-2</v>
      </c>
      <c r="I39">
        <v>7.5660200000000011E-2</v>
      </c>
      <c r="J39">
        <v>7.1143340080000006E-2</v>
      </c>
      <c r="K39">
        <v>0.23714446693333335</v>
      </c>
      <c r="L39">
        <v>3.3333333333333335</v>
      </c>
    </row>
    <row r="40" spans="1:12" x14ac:dyDescent="0.25">
      <c r="A40">
        <v>2</v>
      </c>
      <c r="B40">
        <v>16</v>
      </c>
      <c r="C40" t="s">
        <v>52</v>
      </c>
      <c r="D40" t="s">
        <v>57</v>
      </c>
      <c r="E40" t="s">
        <v>53</v>
      </c>
      <c r="F40">
        <v>18</v>
      </c>
      <c r="G40">
        <v>9</v>
      </c>
      <c r="H40">
        <v>2.5446959999999998E-2</v>
      </c>
      <c r="I40">
        <v>8.4823200000000001E-2</v>
      </c>
      <c r="J40">
        <v>8.8420880879999997E-2</v>
      </c>
      <c r="K40">
        <v>0.29473626959999999</v>
      </c>
      <c r="L40">
        <v>3.3333333333333335</v>
      </c>
    </row>
    <row r="41" spans="1:12" x14ac:dyDescent="0.25">
      <c r="A41">
        <v>2</v>
      </c>
      <c r="B41">
        <v>17</v>
      </c>
      <c r="C41" t="s">
        <v>52</v>
      </c>
      <c r="D41" t="s">
        <v>57</v>
      </c>
      <c r="E41" t="s">
        <v>53</v>
      </c>
      <c r="F41">
        <v>14</v>
      </c>
      <c r="G41">
        <v>7</v>
      </c>
      <c r="H41">
        <v>1.5393840000000002E-2</v>
      </c>
      <c r="I41">
        <v>5.1312800000000013E-2</v>
      </c>
      <c r="J41">
        <v>4.4254452079999999E-2</v>
      </c>
      <c r="K41">
        <v>0.14751484026666667</v>
      </c>
      <c r="L41">
        <v>3.3333333333333335</v>
      </c>
    </row>
    <row r="42" spans="1:12" x14ac:dyDescent="0.25">
      <c r="A42">
        <v>3</v>
      </c>
      <c r="B42">
        <v>3</v>
      </c>
      <c r="C42" t="s">
        <v>52</v>
      </c>
      <c r="D42" t="s">
        <v>57</v>
      </c>
      <c r="E42" t="s">
        <v>53</v>
      </c>
      <c r="F42">
        <v>12</v>
      </c>
      <c r="G42">
        <v>6</v>
      </c>
      <c r="H42">
        <v>1.130976E-2</v>
      </c>
      <c r="I42">
        <v>3.7699200000000002E-2</v>
      </c>
      <c r="J42">
        <v>2.9723010479999999E-2</v>
      </c>
      <c r="K42">
        <v>9.9076701599999997E-2</v>
      </c>
      <c r="L42">
        <v>3.3333333333333335</v>
      </c>
    </row>
    <row r="43" spans="1:12" x14ac:dyDescent="0.25">
      <c r="A43">
        <v>3</v>
      </c>
      <c r="B43">
        <v>4</v>
      </c>
      <c r="C43" t="s">
        <v>52</v>
      </c>
      <c r="D43" t="s">
        <v>57</v>
      </c>
      <c r="E43" t="s">
        <v>53</v>
      </c>
      <c r="F43">
        <v>10</v>
      </c>
      <c r="G43">
        <v>5</v>
      </c>
      <c r="H43">
        <v>7.8540000000000016E-3</v>
      </c>
      <c r="I43">
        <v>2.6180000000000005E-2</v>
      </c>
      <c r="J43">
        <v>1.9310717679999999E-2</v>
      </c>
      <c r="K43">
        <v>6.4369058933333334E-2</v>
      </c>
      <c r="L43">
        <v>3.3333333333333335</v>
      </c>
    </row>
    <row r="44" spans="1:12" x14ac:dyDescent="0.25">
      <c r="A44">
        <v>3</v>
      </c>
      <c r="B44">
        <v>5</v>
      </c>
      <c r="C44" t="s">
        <v>52</v>
      </c>
      <c r="D44" t="s">
        <v>57</v>
      </c>
      <c r="E44" t="s">
        <v>53</v>
      </c>
      <c r="F44">
        <v>11</v>
      </c>
      <c r="G44">
        <v>6</v>
      </c>
      <c r="H44">
        <v>9.503339999999999E-3</v>
      </c>
      <c r="I44">
        <v>3.1677799999999999E-2</v>
      </c>
      <c r="J44">
        <v>2.577549288E-2</v>
      </c>
      <c r="K44">
        <v>8.5918309600000006E-2</v>
      </c>
      <c r="L44">
        <v>3.3333333333333335</v>
      </c>
    </row>
    <row r="45" spans="1:12" x14ac:dyDescent="0.25">
      <c r="A45">
        <v>3</v>
      </c>
      <c r="B45">
        <v>6</v>
      </c>
      <c r="C45" t="s">
        <v>52</v>
      </c>
      <c r="D45" t="s">
        <v>57</v>
      </c>
      <c r="E45" t="s">
        <v>53</v>
      </c>
      <c r="F45">
        <v>16</v>
      </c>
      <c r="G45">
        <v>7</v>
      </c>
      <c r="H45">
        <v>2.0106240000000001E-2</v>
      </c>
      <c r="I45">
        <v>6.7020800000000005E-2</v>
      </c>
      <c r="J45">
        <v>5.6268636079999997E-2</v>
      </c>
      <c r="K45">
        <v>0.18756212026666666</v>
      </c>
      <c r="L45">
        <v>3.3333333333333335</v>
      </c>
    </row>
    <row r="46" spans="1:12" x14ac:dyDescent="0.25">
      <c r="A46">
        <v>3</v>
      </c>
      <c r="B46">
        <v>8</v>
      </c>
      <c r="C46" t="s">
        <v>52</v>
      </c>
      <c r="D46" t="s">
        <v>57</v>
      </c>
      <c r="E46" t="s">
        <v>53</v>
      </c>
      <c r="F46">
        <v>14</v>
      </c>
      <c r="G46">
        <v>7</v>
      </c>
      <c r="H46">
        <v>1.5393840000000002E-2</v>
      </c>
      <c r="I46">
        <v>5.1312800000000013E-2</v>
      </c>
      <c r="J46">
        <v>4.4254452079999999E-2</v>
      </c>
      <c r="K46">
        <v>0.14751484026666667</v>
      </c>
      <c r="L46">
        <v>3.3333333333333335</v>
      </c>
    </row>
    <row r="47" spans="1:12" x14ac:dyDescent="0.25">
      <c r="A47">
        <v>3</v>
      </c>
      <c r="B47">
        <v>9</v>
      </c>
      <c r="C47" t="s">
        <v>52</v>
      </c>
      <c r="D47" t="s">
        <v>57</v>
      </c>
      <c r="E47" t="s">
        <v>53</v>
      </c>
      <c r="F47">
        <v>15</v>
      </c>
      <c r="G47">
        <v>8</v>
      </c>
      <c r="H47">
        <v>1.76715E-2</v>
      </c>
      <c r="I47">
        <v>5.8904999999999999E-2</v>
      </c>
      <c r="J47">
        <v>5.6497477679999998E-2</v>
      </c>
      <c r="K47">
        <v>0.1883249256</v>
      </c>
      <c r="L47">
        <v>3.3333333333333335</v>
      </c>
    </row>
    <row r="48" spans="1:12" x14ac:dyDescent="0.25">
      <c r="A48">
        <v>3</v>
      </c>
      <c r="B48">
        <v>10</v>
      </c>
      <c r="C48" t="s">
        <v>52</v>
      </c>
      <c r="D48" t="s">
        <v>57</v>
      </c>
      <c r="E48" t="s">
        <v>53</v>
      </c>
      <c r="F48">
        <v>10</v>
      </c>
      <c r="G48">
        <v>5</v>
      </c>
      <c r="H48">
        <v>7.8540000000000016E-3</v>
      </c>
      <c r="I48">
        <v>2.6180000000000005E-2</v>
      </c>
      <c r="J48">
        <v>1.9310717679999999E-2</v>
      </c>
      <c r="K48">
        <v>6.4369058933333334E-2</v>
      </c>
      <c r="L48">
        <v>3.3333333333333335</v>
      </c>
    </row>
    <row r="49" spans="1:12" x14ac:dyDescent="0.25">
      <c r="A49">
        <v>3</v>
      </c>
      <c r="B49">
        <v>12</v>
      </c>
      <c r="C49" t="s">
        <v>52</v>
      </c>
      <c r="D49" t="s">
        <v>57</v>
      </c>
      <c r="E49" t="s">
        <v>53</v>
      </c>
      <c r="F49">
        <v>12</v>
      </c>
      <c r="G49">
        <v>6</v>
      </c>
      <c r="H49">
        <v>1.130976E-2</v>
      </c>
      <c r="I49">
        <v>3.7699200000000002E-2</v>
      </c>
      <c r="J49">
        <v>2.9723010479999999E-2</v>
      </c>
      <c r="K49">
        <v>9.9076701599999997E-2</v>
      </c>
      <c r="L49">
        <v>3.3333333333333335</v>
      </c>
    </row>
    <row r="50" spans="1:12" x14ac:dyDescent="0.25">
      <c r="A50">
        <v>3</v>
      </c>
      <c r="B50">
        <v>13</v>
      </c>
      <c r="C50" t="s">
        <v>52</v>
      </c>
      <c r="D50" t="s">
        <v>57</v>
      </c>
      <c r="E50" t="s">
        <v>53</v>
      </c>
      <c r="F50">
        <v>14</v>
      </c>
      <c r="G50">
        <v>7</v>
      </c>
      <c r="H50">
        <v>1.5393840000000002E-2</v>
      </c>
      <c r="I50">
        <v>5.1312800000000013E-2</v>
      </c>
      <c r="J50">
        <v>4.4254452079999999E-2</v>
      </c>
      <c r="K50">
        <v>0.14751484026666667</v>
      </c>
      <c r="L50">
        <v>3.3333333333333335</v>
      </c>
    </row>
    <row r="51" spans="1:12" x14ac:dyDescent="0.25">
      <c r="A51">
        <v>3</v>
      </c>
      <c r="B51">
        <v>14</v>
      </c>
      <c r="C51" t="s">
        <v>52</v>
      </c>
      <c r="D51" t="s">
        <v>57</v>
      </c>
      <c r="E51" t="s">
        <v>53</v>
      </c>
      <c r="F51">
        <v>12</v>
      </c>
      <c r="G51">
        <v>6</v>
      </c>
      <c r="H51">
        <v>1.130976E-2</v>
      </c>
      <c r="I51">
        <v>3.7699200000000002E-2</v>
      </c>
      <c r="J51">
        <v>2.9723010479999999E-2</v>
      </c>
      <c r="K51">
        <v>9.9076701599999997E-2</v>
      </c>
      <c r="L51">
        <v>3.3333333333333335</v>
      </c>
    </row>
    <row r="52" spans="1:12" x14ac:dyDescent="0.25">
      <c r="A52">
        <v>3</v>
      </c>
      <c r="B52">
        <v>15</v>
      </c>
      <c r="C52" t="s">
        <v>52</v>
      </c>
      <c r="D52" t="s">
        <v>57</v>
      </c>
      <c r="E52" t="s">
        <v>53</v>
      </c>
      <c r="F52">
        <v>13</v>
      </c>
      <c r="G52">
        <v>7</v>
      </c>
      <c r="H52">
        <v>1.3273260000000002E-2</v>
      </c>
      <c r="I52">
        <v>4.4244200000000011E-2</v>
      </c>
      <c r="J52">
        <v>3.8848069280000001E-2</v>
      </c>
      <c r="K52">
        <v>0.12949356426666667</v>
      </c>
      <c r="L52">
        <v>3.3333333333333335</v>
      </c>
    </row>
    <row r="53" spans="1:12" x14ac:dyDescent="0.25">
      <c r="A53">
        <v>3</v>
      </c>
      <c r="B53">
        <v>16</v>
      </c>
      <c r="C53" t="s">
        <v>52</v>
      </c>
      <c r="D53" t="s">
        <v>57</v>
      </c>
      <c r="E53" t="s">
        <v>53</v>
      </c>
      <c r="F53">
        <v>14</v>
      </c>
      <c r="G53">
        <v>7</v>
      </c>
      <c r="H53">
        <v>1.5393840000000002E-2</v>
      </c>
      <c r="I53">
        <v>5.1312800000000013E-2</v>
      </c>
      <c r="J53">
        <v>4.4254452079999999E-2</v>
      </c>
      <c r="K53">
        <v>0.14751484026666667</v>
      </c>
      <c r="L53">
        <v>3.3333333333333335</v>
      </c>
    </row>
    <row r="54" spans="1:12" x14ac:dyDescent="0.25">
      <c r="A54">
        <v>3</v>
      </c>
      <c r="B54">
        <v>17</v>
      </c>
      <c r="C54" t="s">
        <v>52</v>
      </c>
      <c r="D54" t="s">
        <v>57</v>
      </c>
      <c r="E54" t="s">
        <v>53</v>
      </c>
      <c r="F54">
        <v>16</v>
      </c>
      <c r="G54">
        <v>8</v>
      </c>
      <c r="H54">
        <v>2.0106240000000001E-2</v>
      </c>
      <c r="I54">
        <v>6.7020800000000005E-2</v>
      </c>
      <c r="J54">
        <v>6.3591567279999997E-2</v>
      </c>
      <c r="K54">
        <v>0.21197189093333332</v>
      </c>
      <c r="L54">
        <v>3.3333333333333335</v>
      </c>
    </row>
    <row r="55" spans="1:12" x14ac:dyDescent="0.25">
      <c r="A55">
        <v>3</v>
      </c>
      <c r="B55">
        <v>18</v>
      </c>
      <c r="C55" t="s">
        <v>52</v>
      </c>
      <c r="D55" t="s">
        <v>57</v>
      </c>
      <c r="E55" t="s">
        <v>54</v>
      </c>
      <c r="F55">
        <v>20</v>
      </c>
      <c r="G55">
        <v>9</v>
      </c>
      <c r="H55">
        <v>3.1416000000000006E-2</v>
      </c>
      <c r="I55">
        <v>0.10472000000000002</v>
      </c>
      <c r="J55">
        <v>0.10798683768</v>
      </c>
      <c r="K55">
        <v>0.35995612560000001</v>
      </c>
      <c r="L55">
        <v>3.3333333333333335</v>
      </c>
    </row>
    <row r="56" spans="1:12" x14ac:dyDescent="0.25">
      <c r="A56">
        <v>3</v>
      </c>
      <c r="B56">
        <v>19</v>
      </c>
      <c r="C56" t="s">
        <v>52</v>
      </c>
      <c r="D56" t="s">
        <v>57</v>
      </c>
      <c r="E56" t="s">
        <v>53</v>
      </c>
      <c r="F56">
        <v>19</v>
      </c>
      <c r="G56">
        <v>8</v>
      </c>
      <c r="H56">
        <v>2.835294E-2</v>
      </c>
      <c r="I56">
        <v>9.4509800000000005E-2</v>
      </c>
      <c r="J56">
        <v>8.7619935280000005E-2</v>
      </c>
      <c r="K56">
        <v>0.29206645093333339</v>
      </c>
      <c r="L56">
        <v>3.3333333333333335</v>
      </c>
    </row>
    <row r="57" spans="1:12" x14ac:dyDescent="0.25">
      <c r="A57">
        <v>3</v>
      </c>
      <c r="B57">
        <v>20</v>
      </c>
      <c r="C57" t="s">
        <v>52</v>
      </c>
      <c r="D57" t="s">
        <v>57</v>
      </c>
      <c r="E57" t="s">
        <v>54</v>
      </c>
      <c r="F57">
        <v>21</v>
      </c>
      <c r="G57">
        <v>10</v>
      </c>
      <c r="H57">
        <v>3.4636139999999996E-2</v>
      </c>
      <c r="I57">
        <v>0.1154538</v>
      </c>
      <c r="J57">
        <v>0.13115704968</v>
      </c>
      <c r="K57">
        <v>0.43719016560000001</v>
      </c>
      <c r="L57">
        <v>3.3333333333333335</v>
      </c>
    </row>
    <row r="58" spans="1:12" x14ac:dyDescent="0.25">
      <c r="A58">
        <v>4</v>
      </c>
      <c r="B58">
        <v>2</v>
      </c>
      <c r="C58" t="s">
        <v>52</v>
      </c>
      <c r="D58" t="s">
        <v>57</v>
      </c>
      <c r="E58" t="s">
        <v>53</v>
      </c>
      <c r="F58">
        <v>18</v>
      </c>
      <c r="G58">
        <v>8</v>
      </c>
      <c r="H58">
        <v>2.5446959999999998E-2</v>
      </c>
      <c r="I58">
        <v>8.4823200000000001E-2</v>
      </c>
      <c r="J58">
        <v>7.9152796080000004E-2</v>
      </c>
      <c r="K58">
        <v>0.26384265360000003</v>
      </c>
      <c r="L58">
        <v>3.3333333333333335</v>
      </c>
    </row>
    <row r="59" spans="1:12" x14ac:dyDescent="0.25">
      <c r="A59">
        <v>4</v>
      </c>
      <c r="B59">
        <v>3</v>
      </c>
      <c r="C59" t="s">
        <v>52</v>
      </c>
      <c r="D59" t="s">
        <v>57</v>
      </c>
      <c r="E59" t="s">
        <v>54</v>
      </c>
      <c r="F59">
        <v>20</v>
      </c>
      <c r="G59">
        <v>8</v>
      </c>
      <c r="H59">
        <v>3.1416000000000006E-2</v>
      </c>
      <c r="I59">
        <v>0.10472000000000002</v>
      </c>
      <c r="J59">
        <v>9.6544757679999982E-2</v>
      </c>
      <c r="K59">
        <v>0.32181585893333331</v>
      </c>
      <c r="L59">
        <v>3.3333333333333335</v>
      </c>
    </row>
    <row r="60" spans="1:12" x14ac:dyDescent="0.25">
      <c r="A60">
        <v>4</v>
      </c>
      <c r="B60">
        <v>4</v>
      </c>
      <c r="C60" t="s">
        <v>52</v>
      </c>
      <c r="D60" t="s">
        <v>57</v>
      </c>
      <c r="E60" t="s">
        <v>53</v>
      </c>
      <c r="F60">
        <v>19</v>
      </c>
      <c r="G60">
        <v>8</v>
      </c>
      <c r="H60">
        <v>2.835294E-2</v>
      </c>
      <c r="I60">
        <v>9.4509800000000005E-2</v>
      </c>
      <c r="J60">
        <v>8.7619935280000005E-2</v>
      </c>
      <c r="K60">
        <v>0.29206645093333339</v>
      </c>
      <c r="L60">
        <v>3.3333333333333335</v>
      </c>
    </row>
    <row r="61" spans="1:12" x14ac:dyDescent="0.25">
      <c r="A61">
        <v>4</v>
      </c>
      <c r="B61">
        <v>5</v>
      </c>
      <c r="C61" t="s">
        <v>52</v>
      </c>
      <c r="D61" t="s">
        <v>57</v>
      </c>
      <c r="E61" t="s">
        <v>53</v>
      </c>
      <c r="F61">
        <v>18</v>
      </c>
      <c r="G61">
        <v>8</v>
      </c>
      <c r="H61">
        <v>2.5446959999999998E-2</v>
      </c>
      <c r="I61">
        <v>8.4823200000000001E-2</v>
      </c>
      <c r="J61">
        <v>7.9152796080000004E-2</v>
      </c>
      <c r="K61">
        <v>0.26384265360000003</v>
      </c>
      <c r="L61">
        <v>3.3333333333333335</v>
      </c>
    </row>
    <row r="62" spans="1:12" x14ac:dyDescent="0.25">
      <c r="A62">
        <v>4</v>
      </c>
      <c r="B62">
        <v>6</v>
      </c>
      <c r="C62" t="s">
        <v>52</v>
      </c>
      <c r="D62" t="s">
        <v>57</v>
      </c>
      <c r="E62" t="s">
        <v>53</v>
      </c>
      <c r="F62">
        <v>17</v>
      </c>
      <c r="G62">
        <v>7</v>
      </c>
      <c r="H62">
        <v>2.2698060000000003E-2</v>
      </c>
      <c r="I62">
        <v>7.5660200000000011E-2</v>
      </c>
      <c r="J62">
        <v>6.2876437280000003E-2</v>
      </c>
      <c r="K62">
        <v>0.20958812426666668</v>
      </c>
      <c r="L62">
        <v>3.3333333333333335</v>
      </c>
    </row>
    <row r="63" spans="1:12" x14ac:dyDescent="0.25">
      <c r="A63">
        <v>4</v>
      </c>
      <c r="B63">
        <v>7</v>
      </c>
      <c r="C63" t="s">
        <v>52</v>
      </c>
      <c r="D63" t="s">
        <v>57</v>
      </c>
      <c r="E63" t="s">
        <v>53</v>
      </c>
      <c r="F63">
        <v>15</v>
      </c>
      <c r="G63">
        <v>6</v>
      </c>
      <c r="H63">
        <v>1.76715E-2</v>
      </c>
      <c r="I63">
        <v>5.8904999999999999E-2</v>
      </c>
      <c r="J63">
        <v>4.3625137679999995E-2</v>
      </c>
      <c r="K63">
        <v>0.1454171256</v>
      </c>
      <c r="L63">
        <v>3.3333333333333335</v>
      </c>
    </row>
    <row r="64" spans="1:12" x14ac:dyDescent="0.25">
      <c r="A64">
        <v>4</v>
      </c>
      <c r="B64">
        <v>8</v>
      </c>
      <c r="C64" t="s">
        <v>52</v>
      </c>
      <c r="D64" t="s">
        <v>57</v>
      </c>
      <c r="E64" t="s">
        <v>53</v>
      </c>
      <c r="F64">
        <v>10</v>
      </c>
      <c r="G64">
        <v>5</v>
      </c>
      <c r="H64">
        <v>7.8540000000000016E-3</v>
      </c>
      <c r="I64">
        <v>2.6180000000000005E-2</v>
      </c>
      <c r="J64">
        <v>1.9310717679999999E-2</v>
      </c>
      <c r="K64">
        <v>6.4369058933333334E-2</v>
      </c>
      <c r="L64">
        <v>3.3333333333333335</v>
      </c>
    </row>
    <row r="65" spans="1:12" x14ac:dyDescent="0.25">
      <c r="A65">
        <v>4</v>
      </c>
      <c r="B65">
        <v>9</v>
      </c>
      <c r="C65" t="s">
        <v>52</v>
      </c>
      <c r="D65" t="s">
        <v>57</v>
      </c>
      <c r="E65" t="s">
        <v>53</v>
      </c>
      <c r="F65">
        <v>13</v>
      </c>
      <c r="G65">
        <v>6</v>
      </c>
      <c r="H65">
        <v>1.3273260000000002E-2</v>
      </c>
      <c r="I65">
        <v>4.4244200000000011E-2</v>
      </c>
      <c r="J65">
        <v>3.401379048E-2</v>
      </c>
      <c r="K65">
        <v>0.11337930160000001</v>
      </c>
      <c r="L65">
        <v>3.3333333333333335</v>
      </c>
    </row>
    <row r="66" spans="1:12" x14ac:dyDescent="0.25">
      <c r="A66">
        <v>4</v>
      </c>
      <c r="B66">
        <v>12</v>
      </c>
      <c r="C66" t="s">
        <v>52</v>
      </c>
      <c r="D66" t="s">
        <v>57</v>
      </c>
      <c r="E66" t="s">
        <v>53</v>
      </c>
      <c r="F66">
        <v>15</v>
      </c>
      <c r="G66">
        <v>7</v>
      </c>
      <c r="H66">
        <v>1.76715E-2</v>
      </c>
      <c r="I66">
        <v>5.8904999999999999E-2</v>
      </c>
      <c r="J66">
        <v>5.006130768E-2</v>
      </c>
      <c r="K66">
        <v>0.1668710256</v>
      </c>
      <c r="L66">
        <v>3.3333333333333335</v>
      </c>
    </row>
    <row r="67" spans="1:12" x14ac:dyDescent="0.25">
      <c r="A67">
        <v>4</v>
      </c>
      <c r="B67">
        <v>13</v>
      </c>
      <c r="C67" t="s">
        <v>52</v>
      </c>
      <c r="D67" t="s">
        <v>57</v>
      </c>
      <c r="E67" t="s">
        <v>53</v>
      </c>
      <c r="F67">
        <v>17</v>
      </c>
      <c r="G67">
        <v>8</v>
      </c>
      <c r="H67">
        <v>2.2698060000000003E-2</v>
      </c>
      <c r="I67">
        <v>7.5660200000000011E-2</v>
      </c>
      <c r="J67">
        <v>7.1143340080000006E-2</v>
      </c>
      <c r="K67">
        <v>0.23714446693333335</v>
      </c>
      <c r="L67">
        <v>3.3333333333333335</v>
      </c>
    </row>
    <row r="68" spans="1:12" x14ac:dyDescent="0.25">
      <c r="A68">
        <v>4</v>
      </c>
      <c r="B68">
        <v>14</v>
      </c>
      <c r="C68" t="s">
        <v>52</v>
      </c>
      <c r="D68" t="s">
        <v>57</v>
      </c>
      <c r="E68" t="s">
        <v>53</v>
      </c>
      <c r="F68">
        <v>16</v>
      </c>
      <c r="G68">
        <v>7</v>
      </c>
      <c r="H68">
        <v>2.0106240000000001E-2</v>
      </c>
      <c r="I68">
        <v>6.7020800000000005E-2</v>
      </c>
      <c r="J68">
        <v>5.6268636079999997E-2</v>
      </c>
      <c r="K68">
        <v>0.18756212026666666</v>
      </c>
      <c r="L68">
        <v>3.3333333333333335</v>
      </c>
    </row>
    <row r="69" spans="1:12" x14ac:dyDescent="0.25">
      <c r="A69">
        <v>4</v>
      </c>
      <c r="B69">
        <v>15</v>
      </c>
      <c r="C69" t="s">
        <v>52</v>
      </c>
      <c r="D69" t="s">
        <v>57</v>
      </c>
      <c r="E69" t="s">
        <v>53</v>
      </c>
      <c r="F69">
        <v>18</v>
      </c>
      <c r="G69">
        <v>8</v>
      </c>
      <c r="H69">
        <v>2.5446959999999998E-2</v>
      </c>
      <c r="I69">
        <v>8.4823200000000001E-2</v>
      </c>
      <c r="J69">
        <v>7.9152796080000004E-2</v>
      </c>
      <c r="K69">
        <v>0.26384265360000003</v>
      </c>
      <c r="L69">
        <v>3.3333333333333335</v>
      </c>
    </row>
    <row r="70" spans="1:12" x14ac:dyDescent="0.25">
      <c r="A70">
        <v>4</v>
      </c>
      <c r="B70">
        <v>16</v>
      </c>
      <c r="C70" t="s">
        <v>52</v>
      </c>
      <c r="D70" t="s">
        <v>57</v>
      </c>
      <c r="E70" t="s">
        <v>53</v>
      </c>
      <c r="F70">
        <v>14</v>
      </c>
      <c r="G70">
        <v>6</v>
      </c>
      <c r="H70">
        <v>1.5393840000000002E-2</v>
      </c>
      <c r="I70">
        <v>5.1312800000000013E-2</v>
      </c>
      <c r="J70">
        <v>3.8647832879999997E-2</v>
      </c>
      <c r="K70">
        <v>0.12882610959999999</v>
      </c>
      <c r="L70">
        <v>3.3333333333333335</v>
      </c>
    </row>
    <row r="71" spans="1:12" x14ac:dyDescent="0.25">
      <c r="A71">
        <v>4</v>
      </c>
      <c r="B71">
        <v>17</v>
      </c>
      <c r="C71" t="s">
        <v>52</v>
      </c>
      <c r="D71" t="s">
        <v>57</v>
      </c>
      <c r="E71" t="s">
        <v>53</v>
      </c>
      <c r="F71">
        <v>15</v>
      </c>
      <c r="G71">
        <v>7</v>
      </c>
      <c r="H71">
        <v>1.76715E-2</v>
      </c>
      <c r="I71">
        <v>5.8904999999999999E-2</v>
      </c>
      <c r="J71">
        <v>5.006130768E-2</v>
      </c>
      <c r="K71">
        <v>0.1668710256</v>
      </c>
      <c r="L71">
        <v>3.3333333333333335</v>
      </c>
    </row>
    <row r="72" spans="1:12" x14ac:dyDescent="0.25">
      <c r="A72">
        <v>4</v>
      </c>
      <c r="B72">
        <v>18</v>
      </c>
      <c r="C72" t="s">
        <v>52</v>
      </c>
      <c r="D72" t="s">
        <v>57</v>
      </c>
      <c r="E72" t="s">
        <v>53</v>
      </c>
      <c r="F72">
        <v>17</v>
      </c>
      <c r="G72">
        <v>6</v>
      </c>
      <c r="H72">
        <v>2.2698060000000003E-2</v>
      </c>
      <c r="I72">
        <v>7.5660200000000011E-2</v>
      </c>
      <c r="J72">
        <v>5.4609534479999999E-2</v>
      </c>
      <c r="K72">
        <v>0.1820317816</v>
      </c>
      <c r="L72">
        <v>3.3333333333333335</v>
      </c>
    </row>
    <row r="73" spans="1:12" x14ac:dyDescent="0.25">
      <c r="A73">
        <v>4</v>
      </c>
      <c r="B73">
        <v>19</v>
      </c>
      <c r="C73" t="s">
        <v>52</v>
      </c>
      <c r="D73" t="s">
        <v>57</v>
      </c>
      <c r="E73" t="s">
        <v>53</v>
      </c>
      <c r="F73">
        <v>18</v>
      </c>
      <c r="G73">
        <v>7</v>
      </c>
      <c r="H73">
        <v>2.5446959999999998E-2</v>
      </c>
      <c r="I73">
        <v>8.4823200000000001E-2</v>
      </c>
      <c r="J73">
        <v>6.9884711279999984E-2</v>
      </c>
      <c r="K73">
        <v>0.23294903759999996</v>
      </c>
      <c r="L73">
        <v>3.3333333333333335</v>
      </c>
    </row>
    <row r="74" spans="1:12" x14ac:dyDescent="0.25">
      <c r="A74">
        <v>4</v>
      </c>
      <c r="B74">
        <v>20</v>
      </c>
      <c r="C74" t="s">
        <v>52</v>
      </c>
      <c r="D74" t="s">
        <v>57</v>
      </c>
      <c r="E74" t="s">
        <v>53</v>
      </c>
      <c r="F74">
        <v>14</v>
      </c>
      <c r="G74">
        <v>6</v>
      </c>
      <c r="H74">
        <v>1.5393840000000002E-2</v>
      </c>
      <c r="I74">
        <v>5.1312800000000013E-2</v>
      </c>
      <c r="J74">
        <v>3.8647832879999997E-2</v>
      </c>
      <c r="K74">
        <v>0.12882610959999999</v>
      </c>
      <c r="L74">
        <v>3.3333333333333335</v>
      </c>
    </row>
    <row r="75" spans="1:12" x14ac:dyDescent="0.25">
      <c r="A75">
        <v>4</v>
      </c>
      <c r="B75">
        <v>21</v>
      </c>
      <c r="C75" t="s">
        <v>52</v>
      </c>
      <c r="D75" t="s">
        <v>57</v>
      </c>
      <c r="E75" t="s">
        <v>53</v>
      </c>
      <c r="F75">
        <v>12</v>
      </c>
      <c r="G75">
        <v>5</v>
      </c>
      <c r="H75">
        <v>1.130976E-2</v>
      </c>
      <c r="I75">
        <v>3.7699200000000002E-2</v>
      </c>
      <c r="J75">
        <v>2.5603861679999999E-2</v>
      </c>
      <c r="K75">
        <v>8.5346205600000002E-2</v>
      </c>
      <c r="L75">
        <v>3.3333333333333335</v>
      </c>
    </row>
    <row r="76" spans="1:12" x14ac:dyDescent="0.25">
      <c r="A76">
        <v>4</v>
      </c>
      <c r="B76">
        <v>22</v>
      </c>
      <c r="C76" t="s">
        <v>52</v>
      </c>
      <c r="D76" t="s">
        <v>57</v>
      </c>
      <c r="E76" t="s">
        <v>53</v>
      </c>
      <c r="F76">
        <v>16</v>
      </c>
      <c r="G76">
        <v>7</v>
      </c>
      <c r="H76">
        <v>2.0106240000000001E-2</v>
      </c>
      <c r="I76">
        <v>6.7020800000000005E-2</v>
      </c>
      <c r="J76">
        <v>5.6268636079999997E-2</v>
      </c>
      <c r="K76">
        <v>0.18756212026666666</v>
      </c>
      <c r="L76">
        <v>3.3333333333333335</v>
      </c>
    </row>
    <row r="77" spans="1:12" x14ac:dyDescent="0.25">
      <c r="A77">
        <v>4</v>
      </c>
      <c r="B77">
        <v>23</v>
      </c>
      <c r="C77" t="s">
        <v>52</v>
      </c>
      <c r="D77" t="s">
        <v>57</v>
      </c>
      <c r="E77" t="s">
        <v>53</v>
      </c>
      <c r="F77">
        <v>13</v>
      </c>
      <c r="G77">
        <v>6</v>
      </c>
      <c r="H77">
        <v>1.3273260000000002E-2</v>
      </c>
      <c r="I77">
        <v>4.4244200000000011E-2</v>
      </c>
      <c r="J77">
        <v>3.401379048E-2</v>
      </c>
      <c r="K77">
        <v>0.11337930160000001</v>
      </c>
      <c r="L77">
        <v>3.3333333333333335</v>
      </c>
    </row>
    <row r="78" spans="1:12" x14ac:dyDescent="0.25">
      <c r="A78">
        <v>4</v>
      </c>
      <c r="B78">
        <v>24</v>
      </c>
      <c r="C78" t="s">
        <v>52</v>
      </c>
      <c r="D78" t="s">
        <v>57</v>
      </c>
      <c r="E78" t="s">
        <v>53</v>
      </c>
      <c r="F78">
        <v>17</v>
      </c>
      <c r="G78">
        <v>7</v>
      </c>
      <c r="H78">
        <v>2.2698060000000003E-2</v>
      </c>
      <c r="I78">
        <v>7.5660200000000011E-2</v>
      </c>
      <c r="J78">
        <v>6.2876437280000003E-2</v>
      </c>
      <c r="K78">
        <v>0.20958812426666668</v>
      </c>
      <c r="L78">
        <v>3.3333333333333335</v>
      </c>
    </row>
    <row r="79" spans="1:12" x14ac:dyDescent="0.25">
      <c r="A79">
        <v>5</v>
      </c>
      <c r="B79">
        <v>1</v>
      </c>
      <c r="C79" t="s">
        <v>52</v>
      </c>
      <c r="D79" t="s">
        <v>57</v>
      </c>
      <c r="E79" t="s">
        <v>53</v>
      </c>
      <c r="F79">
        <v>12</v>
      </c>
      <c r="G79">
        <v>5</v>
      </c>
      <c r="H79">
        <v>1.130976E-2</v>
      </c>
      <c r="I79">
        <v>3.7699200000000002E-2</v>
      </c>
      <c r="J79">
        <v>2.5603861679999999E-2</v>
      </c>
      <c r="K79">
        <v>8.5346205600000002E-2</v>
      </c>
      <c r="L79">
        <v>3.3333333333333335</v>
      </c>
    </row>
    <row r="80" spans="1:12" x14ac:dyDescent="0.25">
      <c r="A80">
        <v>5</v>
      </c>
      <c r="B80">
        <v>9</v>
      </c>
      <c r="C80" t="s">
        <v>52</v>
      </c>
      <c r="D80" t="s">
        <v>57</v>
      </c>
      <c r="E80" t="s">
        <v>53</v>
      </c>
      <c r="F80">
        <v>14</v>
      </c>
      <c r="G80">
        <v>7</v>
      </c>
      <c r="H80">
        <v>1.5393840000000002E-2</v>
      </c>
      <c r="I80">
        <v>5.1312800000000013E-2</v>
      </c>
      <c r="J80">
        <v>4.4254452079999999E-2</v>
      </c>
      <c r="K80">
        <v>0.14751484026666667</v>
      </c>
      <c r="L80">
        <v>3.3333333333333335</v>
      </c>
    </row>
    <row r="81" spans="1:12" x14ac:dyDescent="0.25">
      <c r="A81">
        <v>5</v>
      </c>
      <c r="B81">
        <v>10</v>
      </c>
      <c r="C81" t="s">
        <v>52</v>
      </c>
      <c r="D81" t="s">
        <v>57</v>
      </c>
      <c r="E81" t="s">
        <v>53</v>
      </c>
      <c r="F81">
        <v>17</v>
      </c>
      <c r="G81">
        <v>8</v>
      </c>
      <c r="H81">
        <v>2.2698060000000003E-2</v>
      </c>
      <c r="I81">
        <v>7.5660200000000011E-2</v>
      </c>
      <c r="J81">
        <v>7.1143340080000006E-2</v>
      </c>
      <c r="K81">
        <v>0.23714446693333335</v>
      </c>
      <c r="L81">
        <v>3.3333333333333335</v>
      </c>
    </row>
    <row r="82" spans="1:12" x14ac:dyDescent="0.25">
      <c r="A82">
        <v>5</v>
      </c>
      <c r="B82">
        <v>11</v>
      </c>
      <c r="C82" t="s">
        <v>52</v>
      </c>
      <c r="D82" t="s">
        <v>57</v>
      </c>
      <c r="E82" t="s">
        <v>53</v>
      </c>
      <c r="F82">
        <v>15</v>
      </c>
      <c r="G82">
        <v>7</v>
      </c>
      <c r="H82">
        <v>1.76715E-2</v>
      </c>
      <c r="I82">
        <v>5.8904999999999999E-2</v>
      </c>
      <c r="J82">
        <v>5.006130768E-2</v>
      </c>
      <c r="K82">
        <v>0.1668710256</v>
      </c>
      <c r="L82">
        <v>3.3333333333333335</v>
      </c>
    </row>
    <row r="83" spans="1:12" x14ac:dyDescent="0.25">
      <c r="A83">
        <v>5</v>
      </c>
      <c r="B83">
        <v>12</v>
      </c>
      <c r="C83" t="s">
        <v>52</v>
      </c>
      <c r="D83" t="s">
        <v>57</v>
      </c>
      <c r="E83" t="s">
        <v>53</v>
      </c>
      <c r="F83">
        <v>18</v>
      </c>
      <c r="G83">
        <v>9</v>
      </c>
      <c r="H83">
        <v>2.5446959999999998E-2</v>
      </c>
      <c r="I83">
        <v>8.4823200000000001E-2</v>
      </c>
      <c r="J83">
        <v>8.8420880879999997E-2</v>
      </c>
      <c r="K83">
        <v>0.29473626959999999</v>
      </c>
      <c r="L83">
        <v>3.3333333333333335</v>
      </c>
    </row>
    <row r="84" spans="1:12" x14ac:dyDescent="0.25">
      <c r="A84">
        <v>5</v>
      </c>
      <c r="B84">
        <v>13</v>
      </c>
      <c r="C84" t="s">
        <v>52</v>
      </c>
      <c r="D84" t="s">
        <v>57</v>
      </c>
      <c r="E84" t="s">
        <v>53</v>
      </c>
      <c r="F84">
        <v>16</v>
      </c>
      <c r="G84">
        <v>6</v>
      </c>
      <c r="H84">
        <v>2.0106240000000001E-2</v>
      </c>
      <c r="I84">
        <v>6.7020800000000005E-2</v>
      </c>
      <c r="J84">
        <v>4.8945704879999996E-2</v>
      </c>
      <c r="K84">
        <v>0.1631523496</v>
      </c>
      <c r="L84">
        <v>3.3333333333333335</v>
      </c>
    </row>
    <row r="85" spans="1:12" x14ac:dyDescent="0.25">
      <c r="A85">
        <v>5</v>
      </c>
      <c r="B85">
        <v>16</v>
      </c>
      <c r="C85" t="s">
        <v>52</v>
      </c>
      <c r="D85" t="s">
        <v>57</v>
      </c>
      <c r="E85" t="s">
        <v>62</v>
      </c>
      <c r="F85">
        <v>14</v>
      </c>
      <c r="G85">
        <v>7</v>
      </c>
      <c r="H85">
        <v>1.5393840000000002E-2</v>
      </c>
      <c r="I85">
        <v>5.1312800000000013E-2</v>
      </c>
      <c r="J85">
        <v>4.4254452079999999E-2</v>
      </c>
      <c r="K85">
        <v>0.14751484026666667</v>
      </c>
      <c r="L85">
        <v>3.3333333333333335</v>
      </c>
    </row>
    <row r="86" spans="1:12" x14ac:dyDescent="0.25">
      <c r="A86">
        <v>5</v>
      </c>
      <c r="B86">
        <v>19</v>
      </c>
      <c r="C86" t="s">
        <v>52</v>
      </c>
      <c r="D86" t="s">
        <v>57</v>
      </c>
      <c r="E86" t="s">
        <v>53</v>
      </c>
      <c r="F86">
        <v>12</v>
      </c>
      <c r="G86">
        <v>6</v>
      </c>
      <c r="H86">
        <v>1.130976E-2</v>
      </c>
      <c r="I86">
        <v>3.7699200000000002E-2</v>
      </c>
      <c r="J86">
        <v>2.9723010479999999E-2</v>
      </c>
      <c r="K86">
        <v>9.9076701599999997E-2</v>
      </c>
      <c r="L86">
        <v>3.3333333333333335</v>
      </c>
    </row>
    <row r="87" spans="1:12" x14ac:dyDescent="0.25">
      <c r="A87">
        <v>5</v>
      </c>
      <c r="B87">
        <v>20</v>
      </c>
      <c r="C87" t="s">
        <v>52</v>
      </c>
      <c r="D87" t="s">
        <v>57</v>
      </c>
      <c r="E87" t="s">
        <v>53</v>
      </c>
      <c r="F87">
        <v>12</v>
      </c>
      <c r="G87">
        <v>6</v>
      </c>
      <c r="H87">
        <v>1.130976E-2</v>
      </c>
      <c r="I87">
        <v>3.7699200000000002E-2</v>
      </c>
      <c r="J87">
        <v>2.9723010479999999E-2</v>
      </c>
      <c r="K87">
        <v>9.9076701599999997E-2</v>
      </c>
      <c r="L87">
        <v>3.3333333333333335</v>
      </c>
    </row>
    <row r="88" spans="1:12" x14ac:dyDescent="0.25">
      <c r="A88">
        <v>5</v>
      </c>
      <c r="B88">
        <v>21</v>
      </c>
      <c r="C88" t="s">
        <v>52</v>
      </c>
      <c r="D88" t="s">
        <v>57</v>
      </c>
      <c r="E88" t="s">
        <v>53</v>
      </c>
      <c r="F88">
        <v>12</v>
      </c>
      <c r="G88">
        <v>6</v>
      </c>
      <c r="H88">
        <v>1.130976E-2</v>
      </c>
      <c r="I88">
        <v>3.7699200000000002E-2</v>
      </c>
      <c r="J88">
        <v>2.9723010479999999E-2</v>
      </c>
      <c r="K88">
        <v>9.9076701599999997E-2</v>
      </c>
      <c r="L88">
        <v>3.3333333333333335</v>
      </c>
    </row>
    <row r="89" spans="1:12" x14ac:dyDescent="0.25">
      <c r="A89">
        <v>6</v>
      </c>
      <c r="B89">
        <v>1</v>
      </c>
      <c r="C89" t="s">
        <v>52</v>
      </c>
      <c r="D89" t="s">
        <v>57</v>
      </c>
      <c r="E89" t="s">
        <v>53</v>
      </c>
      <c r="F89">
        <v>12</v>
      </c>
      <c r="G89">
        <v>6</v>
      </c>
      <c r="H89">
        <v>1.130976E-2</v>
      </c>
      <c r="I89">
        <v>3.7699200000000002E-2</v>
      </c>
      <c r="J89">
        <v>2.9723010479999999E-2</v>
      </c>
      <c r="K89">
        <v>9.9076701599999997E-2</v>
      </c>
      <c r="L89">
        <v>3.3333333333333335</v>
      </c>
    </row>
    <row r="90" spans="1:12" x14ac:dyDescent="0.25">
      <c r="A90">
        <v>6</v>
      </c>
      <c r="B90">
        <v>2</v>
      </c>
      <c r="C90" t="s">
        <v>52</v>
      </c>
      <c r="D90" t="s">
        <v>57</v>
      </c>
      <c r="E90" t="s">
        <v>53</v>
      </c>
      <c r="F90">
        <v>14</v>
      </c>
      <c r="G90">
        <v>7</v>
      </c>
      <c r="H90">
        <v>1.5393840000000002E-2</v>
      </c>
      <c r="I90">
        <v>5.1312800000000013E-2</v>
      </c>
      <c r="J90">
        <v>4.4254452079999999E-2</v>
      </c>
      <c r="K90">
        <v>0.14751484026666667</v>
      </c>
      <c r="L90">
        <v>3.3333333333333335</v>
      </c>
    </row>
    <row r="91" spans="1:12" x14ac:dyDescent="0.25">
      <c r="A91">
        <v>6</v>
      </c>
      <c r="B91">
        <v>3</v>
      </c>
      <c r="C91" t="s">
        <v>52</v>
      </c>
      <c r="D91" t="s">
        <v>57</v>
      </c>
      <c r="E91" t="s">
        <v>53</v>
      </c>
      <c r="F91">
        <v>13</v>
      </c>
      <c r="G91">
        <v>6</v>
      </c>
      <c r="H91">
        <v>1.3273260000000002E-2</v>
      </c>
      <c r="I91">
        <v>4.4244200000000011E-2</v>
      </c>
      <c r="J91">
        <v>3.401379048E-2</v>
      </c>
      <c r="K91">
        <v>0.11337930160000001</v>
      </c>
      <c r="L91">
        <v>3.3333333333333335</v>
      </c>
    </row>
    <row r="92" spans="1:12" x14ac:dyDescent="0.25">
      <c r="A92">
        <v>6</v>
      </c>
      <c r="B92">
        <v>4</v>
      </c>
      <c r="C92" t="s">
        <v>52</v>
      </c>
      <c r="D92" t="s">
        <v>57</v>
      </c>
      <c r="E92" t="s">
        <v>53</v>
      </c>
      <c r="F92">
        <v>10</v>
      </c>
      <c r="G92">
        <v>5</v>
      </c>
      <c r="H92">
        <v>7.8540000000000016E-3</v>
      </c>
      <c r="I92">
        <v>2.6180000000000005E-2</v>
      </c>
      <c r="J92">
        <v>1.9310717679999999E-2</v>
      </c>
      <c r="K92">
        <v>6.4369058933333334E-2</v>
      </c>
      <c r="L92">
        <v>3.3333333333333335</v>
      </c>
    </row>
    <row r="93" spans="1:12" x14ac:dyDescent="0.25">
      <c r="A93">
        <v>6</v>
      </c>
      <c r="B93">
        <v>5</v>
      </c>
      <c r="C93" t="s">
        <v>52</v>
      </c>
      <c r="D93" t="s">
        <v>57</v>
      </c>
      <c r="E93" t="s">
        <v>53</v>
      </c>
      <c r="F93">
        <v>16</v>
      </c>
      <c r="G93">
        <v>7</v>
      </c>
      <c r="H93">
        <v>2.0106240000000001E-2</v>
      </c>
      <c r="I93">
        <v>6.7020800000000005E-2</v>
      </c>
      <c r="J93">
        <v>5.6268636079999997E-2</v>
      </c>
      <c r="K93">
        <v>0.18756212026666666</v>
      </c>
      <c r="L93">
        <v>3.3333333333333335</v>
      </c>
    </row>
    <row r="94" spans="1:12" x14ac:dyDescent="0.25">
      <c r="A94">
        <v>6</v>
      </c>
      <c r="B94">
        <v>6</v>
      </c>
      <c r="C94" t="s">
        <v>52</v>
      </c>
      <c r="D94" t="s">
        <v>57</v>
      </c>
      <c r="E94" t="s">
        <v>53</v>
      </c>
      <c r="F94">
        <v>14</v>
      </c>
      <c r="G94">
        <v>6</v>
      </c>
      <c r="H94">
        <v>1.5393840000000002E-2</v>
      </c>
      <c r="I94">
        <v>5.1312800000000013E-2</v>
      </c>
      <c r="J94">
        <v>3.8647832879999997E-2</v>
      </c>
      <c r="K94">
        <v>0.12882610959999999</v>
      </c>
      <c r="L94">
        <v>3.3333333333333335</v>
      </c>
    </row>
    <row r="95" spans="1:12" x14ac:dyDescent="0.25">
      <c r="A95">
        <v>6</v>
      </c>
      <c r="B95">
        <v>7</v>
      </c>
      <c r="C95" t="s">
        <v>52</v>
      </c>
      <c r="D95" t="s">
        <v>57</v>
      </c>
      <c r="E95" t="s">
        <v>53</v>
      </c>
      <c r="F95">
        <v>15</v>
      </c>
      <c r="G95">
        <v>7</v>
      </c>
      <c r="H95">
        <v>1.76715E-2</v>
      </c>
      <c r="I95">
        <v>5.8904999999999999E-2</v>
      </c>
      <c r="J95">
        <v>5.006130768E-2</v>
      </c>
      <c r="K95">
        <v>0.1668710256</v>
      </c>
      <c r="L95">
        <v>3.3333333333333335</v>
      </c>
    </row>
    <row r="96" spans="1:12" x14ac:dyDescent="0.25">
      <c r="A96">
        <v>6</v>
      </c>
      <c r="B96">
        <v>8</v>
      </c>
      <c r="C96" t="s">
        <v>52</v>
      </c>
      <c r="D96" t="s">
        <v>57</v>
      </c>
      <c r="E96" t="s">
        <v>53</v>
      </c>
      <c r="F96">
        <v>14</v>
      </c>
      <c r="G96">
        <v>7</v>
      </c>
      <c r="H96">
        <v>1.5393840000000002E-2</v>
      </c>
      <c r="I96">
        <v>5.1312800000000013E-2</v>
      </c>
      <c r="J96">
        <v>4.4254452079999999E-2</v>
      </c>
      <c r="K96">
        <v>0.14751484026666667</v>
      </c>
      <c r="L96">
        <v>3.3333333333333335</v>
      </c>
    </row>
    <row r="97" spans="1:12" x14ac:dyDescent="0.25">
      <c r="A97">
        <v>6</v>
      </c>
      <c r="B97">
        <v>9</v>
      </c>
      <c r="C97" t="s">
        <v>52</v>
      </c>
      <c r="D97" t="s">
        <v>57</v>
      </c>
      <c r="E97" t="s">
        <v>53</v>
      </c>
      <c r="F97">
        <v>16</v>
      </c>
      <c r="G97">
        <v>8</v>
      </c>
      <c r="H97">
        <v>2.0106240000000001E-2</v>
      </c>
      <c r="I97">
        <v>6.7020800000000005E-2</v>
      </c>
      <c r="J97">
        <v>6.3591567279999997E-2</v>
      </c>
      <c r="K97">
        <v>0.21197189093333332</v>
      </c>
      <c r="L97">
        <v>3.3333333333333335</v>
      </c>
    </row>
    <row r="98" spans="1:12" x14ac:dyDescent="0.25">
      <c r="A98">
        <v>6</v>
      </c>
      <c r="B98">
        <v>10</v>
      </c>
      <c r="C98" t="s">
        <v>52</v>
      </c>
      <c r="D98" t="s">
        <v>57</v>
      </c>
      <c r="E98" t="s">
        <v>53</v>
      </c>
      <c r="F98">
        <v>17</v>
      </c>
      <c r="G98">
        <v>7</v>
      </c>
      <c r="H98">
        <v>2.2698060000000003E-2</v>
      </c>
      <c r="I98">
        <v>7.5660200000000011E-2</v>
      </c>
      <c r="J98">
        <v>6.2876437280000003E-2</v>
      </c>
      <c r="K98">
        <v>0.20958812426666668</v>
      </c>
      <c r="L98">
        <v>3.3333333333333335</v>
      </c>
    </row>
    <row r="99" spans="1:12" x14ac:dyDescent="0.25">
      <c r="A99">
        <v>6</v>
      </c>
      <c r="B99">
        <v>11</v>
      </c>
      <c r="C99" t="s">
        <v>52</v>
      </c>
      <c r="D99" t="s">
        <v>57</v>
      </c>
      <c r="E99" t="s">
        <v>53</v>
      </c>
      <c r="F99">
        <v>14</v>
      </c>
      <c r="G99">
        <v>6</v>
      </c>
      <c r="H99">
        <v>1.5393840000000002E-2</v>
      </c>
      <c r="I99">
        <v>5.1312800000000013E-2</v>
      </c>
      <c r="J99">
        <v>3.8647832879999997E-2</v>
      </c>
      <c r="K99">
        <v>0.12882610959999999</v>
      </c>
      <c r="L99">
        <v>3.3333333333333335</v>
      </c>
    </row>
    <row r="100" spans="1:12" x14ac:dyDescent="0.25">
      <c r="A100">
        <v>6</v>
      </c>
      <c r="B100">
        <v>12</v>
      </c>
      <c r="C100" t="s">
        <v>52</v>
      </c>
      <c r="D100" t="s">
        <v>57</v>
      </c>
      <c r="E100" t="s">
        <v>53</v>
      </c>
      <c r="F100">
        <v>13</v>
      </c>
      <c r="G100">
        <v>6</v>
      </c>
      <c r="H100">
        <v>1.3273260000000002E-2</v>
      </c>
      <c r="I100">
        <v>4.4244200000000011E-2</v>
      </c>
      <c r="J100">
        <v>3.401379048E-2</v>
      </c>
      <c r="K100">
        <v>0.11337930160000001</v>
      </c>
      <c r="L100">
        <v>3.3333333333333335</v>
      </c>
    </row>
    <row r="101" spans="1:12" x14ac:dyDescent="0.25">
      <c r="A101">
        <v>6</v>
      </c>
      <c r="B101">
        <v>13</v>
      </c>
      <c r="C101" t="s">
        <v>52</v>
      </c>
      <c r="D101" t="s">
        <v>57</v>
      </c>
      <c r="E101" t="s">
        <v>53</v>
      </c>
      <c r="F101">
        <v>14</v>
      </c>
      <c r="G101">
        <v>6</v>
      </c>
      <c r="H101">
        <v>1.5393840000000002E-2</v>
      </c>
      <c r="I101">
        <v>5.1312800000000013E-2</v>
      </c>
      <c r="J101">
        <v>3.8647832879999997E-2</v>
      </c>
      <c r="K101">
        <v>0.12882610959999999</v>
      </c>
      <c r="L101">
        <v>3.3333333333333335</v>
      </c>
    </row>
    <row r="102" spans="1:12" x14ac:dyDescent="0.25">
      <c r="A102">
        <v>6</v>
      </c>
      <c r="B102">
        <v>14</v>
      </c>
      <c r="C102" t="s">
        <v>52</v>
      </c>
      <c r="D102" t="s">
        <v>57</v>
      </c>
      <c r="E102" t="s">
        <v>53</v>
      </c>
      <c r="F102">
        <v>10</v>
      </c>
      <c r="G102">
        <v>5</v>
      </c>
      <c r="H102">
        <v>7.8540000000000016E-3</v>
      </c>
      <c r="I102">
        <v>2.6180000000000005E-2</v>
      </c>
      <c r="J102">
        <v>1.9310717679999999E-2</v>
      </c>
      <c r="K102">
        <v>6.4369058933333334E-2</v>
      </c>
      <c r="L102">
        <v>3.3333333333333335</v>
      </c>
    </row>
    <row r="103" spans="1:12" x14ac:dyDescent="0.25">
      <c r="A103">
        <v>6</v>
      </c>
      <c r="B103">
        <v>15</v>
      </c>
      <c r="C103" t="s">
        <v>52</v>
      </c>
      <c r="D103" t="s">
        <v>57</v>
      </c>
      <c r="E103" t="s">
        <v>53</v>
      </c>
      <c r="F103">
        <v>11</v>
      </c>
      <c r="G103">
        <v>5</v>
      </c>
      <c r="H103">
        <v>9.503339999999999E-3</v>
      </c>
      <c r="I103">
        <v>3.1677799999999999E-2</v>
      </c>
      <c r="J103">
        <v>2.2314263679999998E-2</v>
      </c>
      <c r="K103">
        <v>7.4380878933333325E-2</v>
      </c>
      <c r="L103">
        <v>3.3333333333333335</v>
      </c>
    </row>
    <row r="104" spans="1:12" x14ac:dyDescent="0.25">
      <c r="A104">
        <v>6</v>
      </c>
      <c r="B104">
        <v>16</v>
      </c>
      <c r="C104" t="s">
        <v>52</v>
      </c>
      <c r="D104" t="s">
        <v>57</v>
      </c>
      <c r="E104" t="s">
        <v>53</v>
      </c>
      <c r="F104">
        <v>13</v>
      </c>
      <c r="G104">
        <v>7</v>
      </c>
      <c r="H104">
        <v>1.3273260000000002E-2</v>
      </c>
      <c r="I104">
        <v>4.4244200000000011E-2</v>
      </c>
      <c r="J104">
        <v>3.8848069280000001E-2</v>
      </c>
      <c r="K104">
        <v>0.12949356426666667</v>
      </c>
      <c r="L104">
        <v>3.3333333333333335</v>
      </c>
    </row>
    <row r="105" spans="1:12" x14ac:dyDescent="0.25">
      <c r="A105">
        <v>6</v>
      </c>
      <c r="B105">
        <v>17</v>
      </c>
      <c r="C105" t="s">
        <v>52</v>
      </c>
      <c r="D105" t="s">
        <v>57</v>
      </c>
      <c r="E105" t="s">
        <v>53</v>
      </c>
      <c r="F105">
        <v>15</v>
      </c>
      <c r="G105">
        <v>6</v>
      </c>
      <c r="H105">
        <v>1.76715E-2</v>
      </c>
      <c r="I105">
        <v>5.8904999999999999E-2</v>
      </c>
      <c r="J105">
        <v>4.3625137679999995E-2</v>
      </c>
      <c r="K105">
        <v>0.1454171256</v>
      </c>
      <c r="L105">
        <v>3.3333333333333335</v>
      </c>
    </row>
    <row r="106" spans="1:12" x14ac:dyDescent="0.25">
      <c r="A106">
        <v>6</v>
      </c>
      <c r="B106">
        <v>18</v>
      </c>
      <c r="C106" t="s">
        <v>52</v>
      </c>
      <c r="D106" t="s">
        <v>57</v>
      </c>
      <c r="E106" t="s">
        <v>53</v>
      </c>
      <c r="F106">
        <v>14</v>
      </c>
      <c r="G106">
        <v>7</v>
      </c>
      <c r="H106">
        <v>1.5393840000000002E-2</v>
      </c>
      <c r="I106">
        <v>5.1312800000000013E-2</v>
      </c>
      <c r="J106">
        <v>4.4254452079999999E-2</v>
      </c>
      <c r="K106">
        <v>0.14751484026666667</v>
      </c>
      <c r="L106">
        <v>3.3333333333333335</v>
      </c>
    </row>
    <row r="107" spans="1:12" x14ac:dyDescent="0.25">
      <c r="A107">
        <v>6</v>
      </c>
      <c r="B107">
        <v>21</v>
      </c>
      <c r="C107" t="s">
        <v>52</v>
      </c>
      <c r="D107" t="s">
        <v>57</v>
      </c>
      <c r="E107" t="s">
        <v>53</v>
      </c>
      <c r="F107">
        <v>13</v>
      </c>
      <c r="G107">
        <v>6</v>
      </c>
      <c r="H107">
        <v>1.3273260000000002E-2</v>
      </c>
      <c r="I107">
        <v>4.4244200000000011E-2</v>
      </c>
      <c r="J107">
        <v>3.401379048E-2</v>
      </c>
      <c r="K107">
        <v>0.11337930160000001</v>
      </c>
      <c r="L107">
        <v>3.3333333333333335</v>
      </c>
    </row>
    <row r="108" spans="1:12" x14ac:dyDescent="0.25">
      <c r="A108">
        <v>1</v>
      </c>
      <c r="B108">
        <v>9</v>
      </c>
      <c r="C108" t="s">
        <v>55</v>
      </c>
      <c r="D108" t="s">
        <v>56</v>
      </c>
      <c r="E108" t="s">
        <v>53</v>
      </c>
      <c r="F108">
        <v>12</v>
      </c>
      <c r="G108">
        <v>4</v>
      </c>
      <c r="H108">
        <v>1.130976E-2</v>
      </c>
      <c r="I108">
        <v>3.7699200000000002E-2</v>
      </c>
      <c r="J108">
        <v>0.13512068999999999</v>
      </c>
      <c r="K108">
        <v>0.45040229999999998</v>
      </c>
      <c r="L108">
        <v>3.3333333333333335</v>
      </c>
    </row>
    <row r="109" spans="1:12" x14ac:dyDescent="0.25">
      <c r="A109">
        <v>3</v>
      </c>
      <c r="B109">
        <v>7</v>
      </c>
      <c r="C109" t="s">
        <v>55</v>
      </c>
      <c r="D109" t="s">
        <v>56</v>
      </c>
      <c r="E109" t="s">
        <v>60</v>
      </c>
      <c r="F109">
        <v>35</v>
      </c>
      <c r="G109">
        <v>10</v>
      </c>
      <c r="H109">
        <v>9.6211499999999991E-2</v>
      </c>
      <c r="I109">
        <v>0.32070499999999996</v>
      </c>
      <c r="J109">
        <v>0.35542181767999997</v>
      </c>
      <c r="K109">
        <v>1.1847393922666667</v>
      </c>
      <c r="L109">
        <v>3.3333333333333335</v>
      </c>
    </row>
    <row r="110" spans="1:12" x14ac:dyDescent="0.25">
      <c r="A110">
        <v>3</v>
      </c>
      <c r="B110">
        <v>11</v>
      </c>
      <c r="C110" t="s">
        <v>55</v>
      </c>
      <c r="D110" t="s">
        <v>56</v>
      </c>
      <c r="E110" t="s">
        <v>54</v>
      </c>
      <c r="F110">
        <v>28</v>
      </c>
      <c r="G110">
        <v>9</v>
      </c>
      <c r="H110">
        <v>6.157536000000001E-2</v>
      </c>
      <c r="I110">
        <v>0.20525120000000005</v>
      </c>
      <c r="J110">
        <v>0.20684640888</v>
      </c>
      <c r="K110">
        <v>0.6894880296</v>
      </c>
      <c r="L110">
        <v>3.3333333333333335</v>
      </c>
    </row>
    <row r="111" spans="1:12" x14ac:dyDescent="0.25">
      <c r="A111">
        <v>1</v>
      </c>
      <c r="B111">
        <v>28</v>
      </c>
      <c r="C111" t="s">
        <v>58</v>
      </c>
      <c r="D111" t="s">
        <v>59</v>
      </c>
      <c r="E111" t="s">
        <v>61</v>
      </c>
      <c r="F111">
        <v>55</v>
      </c>
      <c r="G111">
        <v>18</v>
      </c>
      <c r="H111">
        <v>0.23758350000000003</v>
      </c>
      <c r="I111">
        <v>0.79194500000000012</v>
      </c>
      <c r="J111">
        <v>1.9540644431999998</v>
      </c>
      <c r="K111">
        <v>6.5135481439999996</v>
      </c>
      <c r="L111">
        <v>3.3333333333333335</v>
      </c>
    </row>
    <row r="112" spans="1:12" x14ac:dyDescent="0.25">
      <c r="A112">
        <v>3</v>
      </c>
      <c r="B112">
        <v>16</v>
      </c>
      <c r="C112" t="s">
        <v>58</v>
      </c>
      <c r="D112" t="s">
        <v>59</v>
      </c>
      <c r="E112" t="s">
        <v>62</v>
      </c>
      <c r="F112">
        <v>48</v>
      </c>
      <c r="G112">
        <v>18</v>
      </c>
      <c r="H112">
        <v>0.18095616</v>
      </c>
      <c r="I112">
        <v>0.60318720000000003</v>
      </c>
      <c r="J112">
        <v>1.4986651253999999</v>
      </c>
      <c r="K112">
        <v>4.9955504179999997</v>
      </c>
      <c r="L112">
        <v>3.3333333333333335</v>
      </c>
    </row>
    <row r="113" spans="1:12" x14ac:dyDescent="0.25">
      <c r="A113">
        <v>2</v>
      </c>
      <c r="B113">
        <v>8</v>
      </c>
      <c r="C113" t="s">
        <v>58</v>
      </c>
      <c r="D113" t="s">
        <v>59</v>
      </c>
      <c r="E113" t="s">
        <v>62</v>
      </c>
      <c r="F113">
        <v>45</v>
      </c>
      <c r="G113">
        <v>18</v>
      </c>
      <c r="H113">
        <v>0.1590435</v>
      </c>
      <c r="I113">
        <v>0.53014500000000009</v>
      </c>
      <c r="J113">
        <v>1.3224426432</v>
      </c>
      <c r="K113">
        <v>4.4081421440000002</v>
      </c>
      <c r="L113">
        <v>3.3333333333333335</v>
      </c>
    </row>
    <row r="114" spans="1:12" x14ac:dyDescent="0.25">
      <c r="A114">
        <v>2</v>
      </c>
      <c r="B114">
        <v>10</v>
      </c>
      <c r="C114" t="s">
        <v>58</v>
      </c>
      <c r="D114" t="s">
        <v>59</v>
      </c>
      <c r="E114" t="s">
        <v>53</v>
      </c>
      <c r="F114">
        <v>15</v>
      </c>
      <c r="G114">
        <v>8</v>
      </c>
      <c r="H114">
        <v>1.76715E-2</v>
      </c>
      <c r="I114">
        <v>5.8904999999999999E-2</v>
      </c>
      <c r="J114">
        <v>0.10657067819999999</v>
      </c>
      <c r="K114">
        <v>0.35523559399999999</v>
      </c>
      <c r="L114">
        <v>3.3333333333333335</v>
      </c>
    </row>
    <row r="115" spans="1:12" x14ac:dyDescent="0.25">
      <c r="A115">
        <v>2</v>
      </c>
      <c r="B115">
        <v>14</v>
      </c>
      <c r="C115" t="s">
        <v>58</v>
      </c>
      <c r="D115" t="s">
        <v>59</v>
      </c>
      <c r="E115" t="s">
        <v>53</v>
      </c>
      <c r="F115">
        <v>12</v>
      </c>
      <c r="G115">
        <v>6</v>
      </c>
      <c r="H115">
        <v>1.130976E-2</v>
      </c>
      <c r="I115">
        <v>3.7699200000000002E-2</v>
      </c>
      <c r="J115">
        <v>7.3726344599999993E-2</v>
      </c>
      <c r="K115">
        <v>0.245754482</v>
      </c>
      <c r="L115">
        <v>3.3333333333333335</v>
      </c>
    </row>
    <row r="116" spans="1:12" x14ac:dyDescent="0.25">
      <c r="A116">
        <v>3</v>
      </c>
      <c r="B116">
        <v>1</v>
      </c>
      <c r="C116" t="s">
        <v>58</v>
      </c>
      <c r="D116" t="s">
        <v>59</v>
      </c>
      <c r="E116" t="s">
        <v>53</v>
      </c>
      <c r="F116">
        <v>12</v>
      </c>
      <c r="G116">
        <v>5</v>
      </c>
      <c r="H116">
        <v>1.130976E-2</v>
      </c>
      <c r="I116">
        <v>3.7699200000000002E-2</v>
      </c>
      <c r="J116">
        <v>6.86733702E-2</v>
      </c>
      <c r="K116">
        <v>0.22891123400000002</v>
      </c>
      <c r="L116">
        <v>3.3333333333333335</v>
      </c>
    </row>
    <row r="117" spans="1:12" x14ac:dyDescent="0.25">
      <c r="A117">
        <v>3</v>
      </c>
      <c r="B117">
        <v>2</v>
      </c>
      <c r="C117" t="s">
        <v>58</v>
      </c>
      <c r="D117" t="s">
        <v>59</v>
      </c>
      <c r="E117" t="s">
        <v>53</v>
      </c>
      <c r="F117">
        <v>10</v>
      </c>
      <c r="G117">
        <v>5</v>
      </c>
      <c r="H117">
        <v>7.8540000000000016E-3</v>
      </c>
      <c r="I117">
        <v>2.6180000000000005E-2</v>
      </c>
      <c r="J117">
        <v>6.0953548199999999E-2</v>
      </c>
      <c r="K117">
        <v>0.20317849400000002</v>
      </c>
      <c r="L117">
        <v>3.3333333333333335</v>
      </c>
    </row>
    <row r="118" spans="1:12" x14ac:dyDescent="0.25">
      <c r="A118">
        <v>3</v>
      </c>
      <c r="B118">
        <v>21</v>
      </c>
      <c r="C118" t="s">
        <v>58</v>
      </c>
      <c r="D118" t="s">
        <v>59</v>
      </c>
      <c r="E118" t="s">
        <v>53</v>
      </c>
      <c r="F118">
        <v>13</v>
      </c>
      <c r="G118">
        <v>7</v>
      </c>
      <c r="H118">
        <v>1.3273260000000002E-2</v>
      </c>
      <c r="I118">
        <v>4.4244200000000011E-2</v>
      </c>
      <c r="J118">
        <v>8.4920086499999992E-2</v>
      </c>
      <c r="K118">
        <v>0.28306695500000001</v>
      </c>
      <c r="L118">
        <v>3.3333333333333335</v>
      </c>
    </row>
    <row r="119" spans="1:12" x14ac:dyDescent="0.25">
      <c r="A119">
        <v>3</v>
      </c>
      <c r="B119">
        <v>22</v>
      </c>
      <c r="C119" t="s">
        <v>58</v>
      </c>
      <c r="D119" t="s">
        <v>59</v>
      </c>
      <c r="E119" t="s">
        <v>53</v>
      </c>
      <c r="F119">
        <v>15</v>
      </c>
      <c r="G119">
        <v>6</v>
      </c>
      <c r="H119">
        <v>1.76715E-2</v>
      </c>
      <c r="I119">
        <v>5.8904999999999999E-2</v>
      </c>
      <c r="J119">
        <v>9.0780133200000002E-2</v>
      </c>
      <c r="K119">
        <v>0.30260044400000002</v>
      </c>
      <c r="L119">
        <v>3.3333333333333335</v>
      </c>
    </row>
    <row r="120" spans="1:12" x14ac:dyDescent="0.25">
      <c r="A120">
        <v>4</v>
      </c>
      <c r="B120">
        <v>19</v>
      </c>
      <c r="C120" t="s">
        <v>58</v>
      </c>
      <c r="D120" t="s">
        <v>59</v>
      </c>
      <c r="E120" t="s">
        <v>62</v>
      </c>
      <c r="F120">
        <v>42</v>
      </c>
      <c r="G120">
        <v>19</v>
      </c>
      <c r="H120">
        <v>0.13854455999999998</v>
      </c>
      <c r="I120">
        <v>0.46181519999999998</v>
      </c>
      <c r="J120">
        <v>1.2194882897999999</v>
      </c>
      <c r="K120">
        <v>4.0649609660000001</v>
      </c>
      <c r="L120">
        <v>3.3333333333333335</v>
      </c>
    </row>
    <row r="121" spans="1:12" x14ac:dyDescent="0.25">
      <c r="A121">
        <v>4</v>
      </c>
      <c r="B121">
        <v>10</v>
      </c>
      <c r="C121" t="s">
        <v>58</v>
      </c>
      <c r="D121" t="s">
        <v>59</v>
      </c>
      <c r="E121" t="s">
        <v>53</v>
      </c>
      <c r="F121">
        <v>16</v>
      </c>
      <c r="G121">
        <v>7</v>
      </c>
      <c r="H121">
        <v>2.0106240000000001E-2</v>
      </c>
      <c r="I121">
        <v>6.7020800000000005E-2</v>
      </c>
      <c r="J121">
        <v>0.1062899574</v>
      </c>
      <c r="K121">
        <v>0.35429985800000002</v>
      </c>
      <c r="L121">
        <v>3.3333333333333335</v>
      </c>
    </row>
    <row r="122" spans="1:12" x14ac:dyDescent="0.25">
      <c r="A122">
        <v>4</v>
      </c>
      <c r="B122">
        <v>11</v>
      </c>
      <c r="C122" t="s">
        <v>58</v>
      </c>
      <c r="D122" t="s">
        <v>59</v>
      </c>
      <c r="E122" t="s">
        <v>53</v>
      </c>
      <c r="F122">
        <v>10</v>
      </c>
      <c r="G122">
        <v>5</v>
      </c>
      <c r="H122">
        <v>7.8540000000000016E-3</v>
      </c>
      <c r="I122">
        <v>2.6180000000000005E-2</v>
      </c>
      <c r="J122">
        <v>6.0953548199999999E-2</v>
      </c>
      <c r="K122">
        <v>0.20317849400000002</v>
      </c>
      <c r="L122">
        <v>3.3333333333333335</v>
      </c>
    </row>
    <row r="123" spans="1:12" x14ac:dyDescent="0.25">
      <c r="A123">
        <v>5</v>
      </c>
      <c r="B123">
        <v>2</v>
      </c>
      <c r="C123" t="s">
        <v>58</v>
      </c>
      <c r="D123" t="s">
        <v>59</v>
      </c>
      <c r="E123" t="s">
        <v>53</v>
      </c>
      <c r="F123">
        <v>17</v>
      </c>
      <c r="G123">
        <v>7</v>
      </c>
      <c r="H123">
        <v>2.2698060000000003E-2</v>
      </c>
      <c r="I123">
        <v>7.5660200000000011E-2</v>
      </c>
      <c r="J123">
        <v>0.11439577049999999</v>
      </c>
      <c r="K123">
        <v>0.38131923499999998</v>
      </c>
      <c r="L123">
        <v>3.3333333333333335</v>
      </c>
    </row>
    <row r="124" spans="1:12" x14ac:dyDescent="0.25">
      <c r="A124">
        <v>5</v>
      </c>
      <c r="B124">
        <v>3</v>
      </c>
      <c r="C124" t="s">
        <v>58</v>
      </c>
      <c r="D124" t="s">
        <v>59</v>
      </c>
      <c r="E124" t="s">
        <v>53</v>
      </c>
      <c r="F124">
        <v>12</v>
      </c>
      <c r="G124">
        <v>6</v>
      </c>
      <c r="H124">
        <v>1.130976E-2</v>
      </c>
      <c r="I124">
        <v>3.7699200000000002E-2</v>
      </c>
      <c r="J124">
        <v>7.3726344599999993E-2</v>
      </c>
      <c r="K124">
        <v>0.245754482</v>
      </c>
      <c r="L124">
        <v>3.3333333333333335</v>
      </c>
    </row>
    <row r="125" spans="1:12" x14ac:dyDescent="0.25">
      <c r="A125">
        <v>5</v>
      </c>
      <c r="B125">
        <v>4</v>
      </c>
      <c r="C125" t="s">
        <v>58</v>
      </c>
      <c r="D125" t="s">
        <v>59</v>
      </c>
      <c r="E125" t="s">
        <v>53</v>
      </c>
      <c r="F125">
        <v>10</v>
      </c>
      <c r="G125">
        <v>5</v>
      </c>
      <c r="H125">
        <v>7.8540000000000016E-3</v>
      </c>
      <c r="I125">
        <v>2.6180000000000005E-2</v>
      </c>
      <c r="J125">
        <v>6.0953548199999999E-2</v>
      </c>
      <c r="K125">
        <v>0.20317849400000002</v>
      </c>
      <c r="L125">
        <v>3.3333333333333335</v>
      </c>
    </row>
    <row r="126" spans="1:12" x14ac:dyDescent="0.25">
      <c r="A126">
        <v>5</v>
      </c>
      <c r="B126">
        <v>5</v>
      </c>
      <c r="C126" t="s">
        <v>58</v>
      </c>
      <c r="D126" t="s">
        <v>59</v>
      </c>
      <c r="E126" t="s">
        <v>53</v>
      </c>
      <c r="F126">
        <v>15</v>
      </c>
      <c r="G126">
        <v>6</v>
      </c>
      <c r="H126">
        <v>1.76715E-2</v>
      </c>
      <c r="I126">
        <v>5.8904999999999999E-2</v>
      </c>
      <c r="J126">
        <v>9.0780133200000002E-2</v>
      </c>
      <c r="K126">
        <v>0.30260044400000002</v>
      </c>
      <c r="L126">
        <v>3.3333333333333335</v>
      </c>
    </row>
    <row r="127" spans="1:12" x14ac:dyDescent="0.25">
      <c r="A127">
        <v>5</v>
      </c>
      <c r="B127">
        <v>6</v>
      </c>
      <c r="C127" t="s">
        <v>58</v>
      </c>
      <c r="D127" t="s">
        <v>59</v>
      </c>
      <c r="E127" t="s">
        <v>53</v>
      </c>
      <c r="F127">
        <v>16</v>
      </c>
      <c r="G127">
        <v>7</v>
      </c>
      <c r="H127">
        <v>2.0106240000000001E-2</v>
      </c>
      <c r="I127">
        <v>6.7020800000000005E-2</v>
      </c>
      <c r="J127">
        <v>0.1062899574</v>
      </c>
      <c r="K127">
        <v>0.35429985800000002</v>
      </c>
      <c r="L127">
        <v>3.3333333333333335</v>
      </c>
    </row>
    <row r="128" spans="1:12" x14ac:dyDescent="0.25">
      <c r="A128">
        <v>5</v>
      </c>
      <c r="B128">
        <v>7</v>
      </c>
      <c r="C128" t="s">
        <v>58</v>
      </c>
      <c r="D128" t="s">
        <v>59</v>
      </c>
      <c r="E128" t="s">
        <v>53</v>
      </c>
      <c r="F128">
        <v>14</v>
      </c>
      <c r="G128">
        <v>6</v>
      </c>
      <c r="H128">
        <v>1.5393840000000002E-2</v>
      </c>
      <c r="I128">
        <v>5.1312800000000013E-2</v>
      </c>
      <c r="J128">
        <v>8.4674455799999993E-2</v>
      </c>
      <c r="K128">
        <v>0.28224818600000001</v>
      </c>
      <c r="L128">
        <v>3.3333333333333335</v>
      </c>
    </row>
    <row r="129" spans="1:12" x14ac:dyDescent="0.25">
      <c r="A129">
        <v>5</v>
      </c>
      <c r="B129">
        <v>8</v>
      </c>
      <c r="C129" t="s">
        <v>58</v>
      </c>
      <c r="D129" t="s">
        <v>59</v>
      </c>
      <c r="E129" t="s">
        <v>53</v>
      </c>
      <c r="F129">
        <v>12</v>
      </c>
      <c r="G129">
        <v>6</v>
      </c>
      <c r="H129">
        <v>1.130976E-2</v>
      </c>
      <c r="I129">
        <v>3.7699200000000002E-2</v>
      </c>
      <c r="J129">
        <v>7.3726344599999993E-2</v>
      </c>
      <c r="K129">
        <v>0.245754482</v>
      </c>
      <c r="L129">
        <v>3.3333333333333335</v>
      </c>
    </row>
    <row r="130" spans="1:12" x14ac:dyDescent="0.25">
      <c r="A130">
        <v>5</v>
      </c>
      <c r="B130">
        <v>14</v>
      </c>
      <c r="C130" t="s">
        <v>58</v>
      </c>
      <c r="D130" t="s">
        <v>59</v>
      </c>
      <c r="E130" t="s">
        <v>53</v>
      </c>
      <c r="F130">
        <v>12</v>
      </c>
      <c r="G130">
        <v>6</v>
      </c>
      <c r="H130">
        <v>1.130976E-2</v>
      </c>
      <c r="I130">
        <v>3.7699200000000002E-2</v>
      </c>
      <c r="J130">
        <v>7.3726344599999993E-2</v>
      </c>
      <c r="K130">
        <v>0.245754482</v>
      </c>
      <c r="L130">
        <v>3.3333333333333335</v>
      </c>
    </row>
    <row r="131" spans="1:12" x14ac:dyDescent="0.25">
      <c r="A131">
        <v>5</v>
      </c>
      <c r="B131">
        <v>15</v>
      </c>
      <c r="C131" t="s">
        <v>58</v>
      </c>
      <c r="D131" t="s">
        <v>59</v>
      </c>
      <c r="E131" t="s">
        <v>53</v>
      </c>
      <c r="F131">
        <v>10</v>
      </c>
      <c r="G131">
        <v>5</v>
      </c>
      <c r="H131">
        <v>7.8540000000000016E-3</v>
      </c>
      <c r="I131">
        <v>2.6180000000000005E-2</v>
      </c>
      <c r="J131">
        <v>6.0953548199999999E-2</v>
      </c>
      <c r="K131">
        <v>0.20317849400000002</v>
      </c>
      <c r="L131">
        <v>3.3333333333333335</v>
      </c>
    </row>
    <row r="132" spans="1:12" x14ac:dyDescent="0.25">
      <c r="A132">
        <v>5</v>
      </c>
      <c r="B132">
        <v>17</v>
      </c>
      <c r="C132" t="s">
        <v>58</v>
      </c>
      <c r="D132" t="s">
        <v>59</v>
      </c>
      <c r="E132" t="s">
        <v>53</v>
      </c>
      <c r="F132">
        <v>17</v>
      </c>
      <c r="G132">
        <v>7</v>
      </c>
      <c r="H132">
        <v>2.2698060000000003E-2</v>
      </c>
      <c r="I132">
        <v>7.5660200000000011E-2</v>
      </c>
      <c r="J132">
        <v>0.11439577049999999</v>
      </c>
      <c r="K132">
        <v>0.38131923499999998</v>
      </c>
      <c r="L132">
        <v>3.3333333333333335</v>
      </c>
    </row>
    <row r="133" spans="1:12" x14ac:dyDescent="0.25">
      <c r="A133">
        <v>5</v>
      </c>
      <c r="B133">
        <v>18</v>
      </c>
      <c r="C133" t="s">
        <v>58</v>
      </c>
      <c r="D133" t="s">
        <v>59</v>
      </c>
      <c r="E133" t="s">
        <v>60</v>
      </c>
      <c r="F133">
        <v>38</v>
      </c>
      <c r="G133">
        <v>18</v>
      </c>
      <c r="H133">
        <v>0.11341176</v>
      </c>
      <c r="I133">
        <v>0.37803920000000002</v>
      </c>
      <c r="J133">
        <v>0.95547037739999996</v>
      </c>
      <c r="K133">
        <v>3.184901258</v>
      </c>
      <c r="L133">
        <v>3.3333333333333335</v>
      </c>
    </row>
    <row r="134" spans="1:12" x14ac:dyDescent="0.25">
      <c r="A134">
        <v>5</v>
      </c>
      <c r="B134">
        <v>22</v>
      </c>
      <c r="C134" t="s">
        <v>58</v>
      </c>
      <c r="D134" t="s">
        <v>59</v>
      </c>
      <c r="E134" t="s">
        <v>60</v>
      </c>
      <c r="F134">
        <v>37</v>
      </c>
      <c r="G134">
        <v>17</v>
      </c>
      <c r="H134">
        <v>0.10752125999999999</v>
      </c>
      <c r="I134">
        <v>0.35840420000000001</v>
      </c>
      <c r="J134">
        <v>0.86006039550000002</v>
      </c>
      <c r="K134">
        <v>2.8668679850000003</v>
      </c>
      <c r="L134">
        <v>3.3333333333333335</v>
      </c>
    </row>
    <row r="135" spans="1:12" x14ac:dyDescent="0.25">
      <c r="A135">
        <v>6</v>
      </c>
      <c r="B135">
        <v>19</v>
      </c>
      <c r="C135" t="s">
        <v>58</v>
      </c>
      <c r="D135" t="s">
        <v>59</v>
      </c>
      <c r="E135" t="s">
        <v>53</v>
      </c>
      <c r="F135">
        <v>17</v>
      </c>
      <c r="G135">
        <v>8</v>
      </c>
      <c r="H135">
        <v>2.2698060000000003E-2</v>
      </c>
      <c r="I135">
        <v>7.5660200000000011E-2</v>
      </c>
      <c r="J135">
        <v>0.1245368094</v>
      </c>
      <c r="K135">
        <v>0.41512269800000001</v>
      </c>
      <c r="L135">
        <v>3.3333333333333335</v>
      </c>
    </row>
    <row r="136" spans="1:12" x14ac:dyDescent="0.25">
      <c r="A136">
        <v>6</v>
      </c>
      <c r="B136">
        <v>20</v>
      </c>
      <c r="C136" t="s">
        <v>58</v>
      </c>
      <c r="D136" t="s">
        <v>59</v>
      </c>
      <c r="E136" t="s">
        <v>53</v>
      </c>
      <c r="F136">
        <v>15</v>
      </c>
      <c r="G136">
        <v>7</v>
      </c>
      <c r="H136">
        <v>1.76715E-2</v>
      </c>
      <c r="I136">
        <v>5.8904999999999999E-2</v>
      </c>
      <c r="J136">
        <v>9.8675405699999996E-2</v>
      </c>
      <c r="K136">
        <v>0.32891801900000001</v>
      </c>
      <c r="L136">
        <v>3.3333333333333335</v>
      </c>
    </row>
    <row r="137" spans="1:12" x14ac:dyDescent="0.25">
      <c r="A137">
        <v>6</v>
      </c>
      <c r="B137">
        <v>22</v>
      </c>
      <c r="C137" t="s">
        <v>58</v>
      </c>
      <c r="D137" t="s">
        <v>59</v>
      </c>
      <c r="E137" t="s">
        <v>62</v>
      </c>
      <c r="F137">
        <v>47</v>
      </c>
      <c r="G137">
        <v>20</v>
      </c>
      <c r="H137">
        <v>0.17349485999999997</v>
      </c>
      <c r="I137">
        <v>0.57831619999999995</v>
      </c>
      <c r="J137">
        <v>1.5936891162</v>
      </c>
      <c r="K137">
        <v>5.3122970540000001</v>
      </c>
      <c r="L137">
        <v>3.3333333333333335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zoomScale="85" zoomScaleNormal="85" workbookViewId="0">
      <selection activeCell="J37" sqref="J37"/>
    </sheetView>
  </sheetViews>
  <sheetFormatPr baseColWidth="10" defaultColWidth="11.42578125" defaultRowHeight="15" x14ac:dyDescent="0.25"/>
  <cols>
    <col min="1" max="1" width="20.85546875" customWidth="1"/>
    <col min="2" max="3" width="21.28515625" customWidth="1"/>
    <col min="4" max="4" width="22.140625" customWidth="1"/>
    <col min="5" max="5" width="15.28515625" customWidth="1"/>
    <col min="6" max="6" width="21.140625" customWidth="1"/>
    <col min="7" max="7" width="10.42578125" customWidth="1"/>
    <col min="8" max="8" width="10.28515625" customWidth="1"/>
    <col min="9" max="9" width="7.85546875" customWidth="1"/>
    <col min="10" max="10" width="8.85546875" customWidth="1"/>
    <col min="13" max="13" width="17.5703125" customWidth="1"/>
    <col min="14" max="14" width="21.28515625" bestFit="1" customWidth="1"/>
    <col min="15" max="15" width="22.140625" bestFit="1" customWidth="1"/>
    <col min="16" max="16" width="15.140625" bestFit="1" customWidth="1"/>
    <col min="17" max="17" width="21" bestFit="1" customWidth="1"/>
  </cols>
  <sheetData>
    <row r="3" spans="1:12" x14ac:dyDescent="0.25">
      <c r="B3" s="5" t="s">
        <v>16</v>
      </c>
    </row>
    <row r="4" spans="1:12" x14ac:dyDescent="0.25">
      <c r="A4" s="5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6" t="s">
        <v>57</v>
      </c>
      <c r="B5" s="9">
        <v>353.33333333333309</v>
      </c>
      <c r="C5" s="3">
        <v>14.29245283018868</v>
      </c>
      <c r="D5" s="3">
        <v>6.6981132075471699</v>
      </c>
      <c r="E5" s="3">
        <v>5.8724357999999937</v>
      </c>
      <c r="F5" s="3">
        <v>16.858587212266666</v>
      </c>
    </row>
    <row r="6" spans="1:12" x14ac:dyDescent="0.25">
      <c r="A6" s="6" t="s">
        <v>56</v>
      </c>
      <c r="B6" s="9">
        <v>10</v>
      </c>
      <c r="C6" s="3">
        <v>25</v>
      </c>
      <c r="D6" s="3">
        <v>8</v>
      </c>
      <c r="E6" s="3">
        <v>0.56365540000000003</v>
      </c>
      <c r="F6" s="3">
        <v>2.3993846445333333</v>
      </c>
    </row>
    <row r="7" spans="1:12" x14ac:dyDescent="0.25">
      <c r="A7" s="6" t="s">
        <v>59</v>
      </c>
      <c r="B7" s="9">
        <v>89.999999999999986</v>
      </c>
      <c r="C7" s="3">
        <v>21.296296296296298</v>
      </c>
      <c r="D7" s="3">
        <v>9.1481481481481488</v>
      </c>
      <c r="E7" s="3">
        <v>4.5225950000000008</v>
      </c>
      <c r="F7" s="3">
        <v>34.489307558999997</v>
      </c>
      <c r="L7">
        <f>2013-1977</f>
        <v>36</v>
      </c>
    </row>
    <row r="8" spans="1:12" x14ac:dyDescent="0.25">
      <c r="A8" s="6" t="s">
        <v>13</v>
      </c>
      <c r="B8" s="9">
        <v>453.33333333333252</v>
      </c>
      <c r="C8" s="3">
        <v>15.919117647058824</v>
      </c>
      <c r="D8" s="3">
        <v>7.2132352941176467</v>
      </c>
      <c r="E8" s="3">
        <v>10.958686199999992</v>
      </c>
      <c r="F8" s="3">
        <v>53.747279415800001</v>
      </c>
    </row>
    <row r="12" spans="1:12" x14ac:dyDescent="0.25">
      <c r="B12" s="76" t="s">
        <v>27</v>
      </c>
      <c r="C12" s="76" t="s">
        <v>28</v>
      </c>
      <c r="D12" s="73" t="s">
        <v>3</v>
      </c>
      <c r="E12" s="72" t="s">
        <v>15</v>
      </c>
      <c r="F12" s="72" t="s">
        <v>17</v>
      </c>
      <c r="G12" s="72" t="s">
        <v>18</v>
      </c>
      <c r="H12" s="72" t="s">
        <v>19</v>
      </c>
      <c r="I12" s="73" t="s">
        <v>29</v>
      </c>
      <c r="J12" s="73"/>
    </row>
    <row r="13" spans="1:12" x14ac:dyDescent="0.25">
      <c r="B13" s="76"/>
      <c r="C13" s="76"/>
      <c r="D13" s="73"/>
      <c r="E13" s="72"/>
      <c r="F13" s="72"/>
      <c r="G13" s="72"/>
      <c r="H13" s="72"/>
      <c r="I13" s="21" t="s">
        <v>30</v>
      </c>
      <c r="J13" s="21" t="s">
        <v>27</v>
      </c>
    </row>
    <row r="14" spans="1:12" x14ac:dyDescent="0.25">
      <c r="B14" s="74">
        <v>1</v>
      </c>
      <c r="C14" s="75">
        <v>3.5</v>
      </c>
      <c r="D14" s="13" t="str">
        <f>A5</f>
        <v>Pinus sp.</v>
      </c>
      <c r="E14" s="17">
        <v>353.33333333333309</v>
      </c>
      <c r="F14" s="14">
        <f>GETPIVOTDATA("Promedio de DAP (cm)",$A$3,"Especie","Pinus sp.")</f>
        <v>14.29245283018868</v>
      </c>
      <c r="G14" s="14">
        <f>GETPIVOTDATA("Promedio de Altura (m)",$A$3,"Especie","Pinus sp.")</f>
        <v>6.6981132075471699</v>
      </c>
      <c r="H14" s="14">
        <f>GETPIVOTDATA("Suma de AB/Ha.",$A$3,"Especie","Pinus sp.")</f>
        <v>5.8724357999999937</v>
      </c>
      <c r="I14" s="14">
        <f>GETPIVOTDATA("Suma de Volumen/Ha.",$A$3,"Especie","Pinus sp.")</f>
        <v>16.858587212266666</v>
      </c>
      <c r="J14" s="15">
        <f>I14*3.5</f>
        <v>59.005055242933331</v>
      </c>
    </row>
    <row r="15" spans="1:12" x14ac:dyDescent="0.25">
      <c r="B15" s="74"/>
      <c r="C15" s="75"/>
      <c r="D15" s="13" t="str">
        <f>A6</f>
        <v>Alnus sp.</v>
      </c>
      <c r="E15" s="17">
        <v>10</v>
      </c>
      <c r="F15" s="14">
        <f>GETPIVOTDATA("Promedio de DAP (cm)",$A$3,"Especie","Alnus sp.")</f>
        <v>25</v>
      </c>
      <c r="G15" s="14">
        <f>GETPIVOTDATA("Promedio de Altura (m)",$A$3,"Especie","Alnus sp.")</f>
        <v>8</v>
      </c>
      <c r="H15" s="14">
        <f>GETPIVOTDATA("Suma de AB/Ha.",$A$3,"Especie","Alnus sp.")</f>
        <v>0.56365540000000003</v>
      </c>
      <c r="I15" s="14">
        <f>GETPIVOTDATA("Suma de Volumen/Ha.",$A$3,"Especie","Alnus sp.")</f>
        <v>2.3993846445333333</v>
      </c>
      <c r="J15" s="58">
        <f t="shared" ref="J15:J17" si="0">I15*3.5</f>
        <v>8.397846255866666</v>
      </c>
    </row>
    <row r="16" spans="1:12" x14ac:dyDescent="0.25">
      <c r="B16" s="74"/>
      <c r="C16" s="75"/>
      <c r="D16" s="13" t="str">
        <f>A7</f>
        <v>Abies guatemalensis</v>
      </c>
      <c r="E16" s="17">
        <v>89.999999999999986</v>
      </c>
      <c r="F16" s="14">
        <f>GETPIVOTDATA("Promedio de DAP (cm)",$A$3,"Especie","Abies guatemalensis")</f>
        <v>21.296296296296298</v>
      </c>
      <c r="G16" s="14">
        <f>GETPIVOTDATA("Promedio de Altura (m)",$A$3,"Especie","Abies guatemalensis")</f>
        <v>9.1481481481481488</v>
      </c>
      <c r="H16" s="14">
        <f>GETPIVOTDATA("Suma de AB/Ha.",$A$3,"Especie","Abies guatemalensis")</f>
        <v>4.5225950000000008</v>
      </c>
      <c r="I16" s="14">
        <f>GETPIVOTDATA("Suma de Volumen/Ha.",$A$3,"Especie","Abies guatemalensis")</f>
        <v>34.489307558999997</v>
      </c>
      <c r="J16" s="58">
        <f t="shared" si="0"/>
        <v>120.71257645649999</v>
      </c>
    </row>
    <row r="17" spans="2:13" x14ac:dyDescent="0.25">
      <c r="B17" s="74"/>
      <c r="C17" s="75"/>
      <c r="D17" s="18" t="s">
        <v>13</v>
      </c>
      <c r="E17" s="19">
        <f>SUM(E14:E16)</f>
        <v>453.33333333333309</v>
      </c>
      <c r="F17" s="20">
        <f>GETPIVOTDATA("Promedio de DAP (cm)",$A$3)</f>
        <v>15.919117647058824</v>
      </c>
      <c r="G17" s="20">
        <f>GETPIVOTDATA("Promedio de Altura (m)",$A$3)</f>
        <v>7.2132352941176467</v>
      </c>
      <c r="H17" s="20">
        <f>GETPIVOTDATA("Suma de AB/Ha.",$A$3)</f>
        <v>10.958686199999992</v>
      </c>
      <c r="I17" s="20">
        <f>SUM(I14:I16)</f>
        <v>53.747279415799994</v>
      </c>
      <c r="J17" s="63">
        <f t="shared" si="0"/>
        <v>188.11547795529998</v>
      </c>
    </row>
    <row r="26" spans="2:13" x14ac:dyDescent="0.25">
      <c r="M26" s="5" t="s">
        <v>69</v>
      </c>
    </row>
    <row r="27" spans="2:13" x14ac:dyDescent="0.25">
      <c r="M27" s="6">
        <v>1</v>
      </c>
    </row>
    <row r="28" spans="2:13" x14ac:dyDescent="0.25">
      <c r="M28" s="6">
        <v>2</v>
      </c>
    </row>
    <row r="29" spans="2:13" x14ac:dyDescent="0.25">
      <c r="M29" s="6">
        <v>3</v>
      </c>
    </row>
    <row r="30" spans="2:13" x14ac:dyDescent="0.25">
      <c r="M30" s="6">
        <v>4</v>
      </c>
    </row>
    <row r="31" spans="2:13" x14ac:dyDescent="0.25">
      <c r="M31" s="6">
        <v>5</v>
      </c>
    </row>
    <row r="32" spans="2:13" x14ac:dyDescent="0.25">
      <c r="M32" s="6">
        <v>6</v>
      </c>
    </row>
    <row r="33" spans="13:13" x14ac:dyDescent="0.25">
      <c r="M33" s="6" t="s">
        <v>13</v>
      </c>
    </row>
  </sheetData>
  <mergeCells count="10">
    <mergeCell ref="H12:H13"/>
    <mergeCell ref="I12:J12"/>
    <mergeCell ref="B14:B17"/>
    <mergeCell ref="C14:C17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1" spans="1:7" x14ac:dyDescent="0.25">
      <c r="A1" s="1" t="s">
        <v>63</v>
      </c>
      <c r="B1">
        <v>3.5</v>
      </c>
    </row>
    <row r="3" spans="1:7" x14ac:dyDescent="0.25">
      <c r="B3" s="5" t="s">
        <v>16</v>
      </c>
    </row>
    <row r="4" spans="1:7" ht="30" x14ac:dyDescent="0.25">
      <c r="A4" s="51" t="s">
        <v>32</v>
      </c>
      <c r="B4" s="31" t="s">
        <v>15</v>
      </c>
      <c r="C4" s="31" t="s">
        <v>17</v>
      </c>
      <c r="D4" s="31" t="s">
        <v>18</v>
      </c>
      <c r="E4" s="31" t="s">
        <v>19</v>
      </c>
      <c r="F4" s="51" t="s">
        <v>20</v>
      </c>
      <c r="G4" s="24" t="s">
        <v>31</v>
      </c>
    </row>
    <row r="5" spans="1:7" x14ac:dyDescent="0.25">
      <c r="A5" s="50">
        <v>1</v>
      </c>
      <c r="B5" s="28">
        <v>93.333333333333314</v>
      </c>
      <c r="C5" s="29">
        <v>14.714285714285714</v>
      </c>
      <c r="D5" s="29">
        <v>6.7142857142857144</v>
      </c>
      <c r="E5" s="29">
        <v>2.0745032000000001</v>
      </c>
      <c r="F5" s="49">
        <v>10.474667270933335</v>
      </c>
      <c r="G5" s="30">
        <f>F5*$B$1</f>
        <v>36.661335448266669</v>
      </c>
    </row>
    <row r="6" spans="1:7" x14ac:dyDescent="0.25">
      <c r="A6" s="50">
        <v>2</v>
      </c>
      <c r="B6" s="28">
        <v>60.000000000000014</v>
      </c>
      <c r="C6" s="29">
        <v>17.833333333333332</v>
      </c>
      <c r="D6" s="29">
        <v>7.833333333333333</v>
      </c>
      <c r="E6" s="29">
        <v>1.9030241999999999</v>
      </c>
      <c r="F6" s="49">
        <v>9.8678481184000013</v>
      </c>
      <c r="G6" s="30">
        <f t="shared" ref="G6:G10" si="0">F6*$B$1</f>
        <v>34.537468414400003</v>
      </c>
    </row>
    <row r="7" spans="1:7" x14ac:dyDescent="0.25">
      <c r="A7" s="50">
        <v>3</v>
      </c>
      <c r="B7" s="28">
        <v>73.333333333333343</v>
      </c>
      <c r="C7" s="29">
        <v>15.590909090909092</v>
      </c>
      <c r="D7" s="29">
        <v>7.2727272727272725</v>
      </c>
      <c r="E7" s="29">
        <v>1.6019542000000004</v>
      </c>
      <c r="F7" s="49">
        <v>5.8019185864666669</v>
      </c>
      <c r="G7" s="30">
        <f t="shared" si="0"/>
        <v>20.306715052633333</v>
      </c>
    </row>
    <row r="8" spans="1:7" x14ac:dyDescent="0.25">
      <c r="A8" s="50">
        <v>4</v>
      </c>
      <c r="B8" s="28">
        <v>80</v>
      </c>
      <c r="C8" s="29">
        <v>16.666666666666668</v>
      </c>
      <c r="D8" s="29">
        <v>7.25</v>
      </c>
      <c r="E8" s="29">
        <v>1.9619292000000004</v>
      </c>
      <c r="F8" s="49">
        <v>8.5875606276000021</v>
      </c>
      <c r="G8" s="30">
        <f t="shared" si="0"/>
        <v>30.056462196600009</v>
      </c>
    </row>
    <row r="9" spans="1:7" x14ac:dyDescent="0.25">
      <c r="A9" s="50">
        <v>5</v>
      </c>
      <c r="B9" s="28">
        <v>73.333333333333343</v>
      </c>
      <c r="C9" s="29">
        <v>16</v>
      </c>
      <c r="D9" s="29">
        <v>7.4090909090909092</v>
      </c>
      <c r="E9" s="29">
        <v>1.7702916000000004</v>
      </c>
      <c r="F9" s="49">
        <v>10.436686737666665</v>
      </c>
      <c r="G9" s="30">
        <f t="shared" si="0"/>
        <v>36.528403581833331</v>
      </c>
    </row>
    <row r="10" spans="1:7" x14ac:dyDescent="0.25">
      <c r="A10" s="50">
        <v>6</v>
      </c>
      <c r="B10" s="28">
        <v>73.333333333333343</v>
      </c>
      <c r="C10" s="29">
        <v>15.318181818181818</v>
      </c>
      <c r="D10" s="29">
        <v>7.0454545454545459</v>
      </c>
      <c r="E10" s="29">
        <v>1.6469838000000001</v>
      </c>
      <c r="F10" s="49">
        <v>8.5785980747333337</v>
      </c>
      <c r="G10" s="30">
        <f t="shared" si="0"/>
        <v>30.025093261566667</v>
      </c>
    </row>
    <row r="11" spans="1:7" x14ac:dyDescent="0.25">
      <c r="A11" s="53" t="s">
        <v>13</v>
      </c>
      <c r="B11" s="32">
        <v>453.33333333333252</v>
      </c>
      <c r="C11" s="33">
        <v>15.919117647058824</v>
      </c>
      <c r="D11" s="33">
        <v>7.2132352941176467</v>
      </c>
      <c r="E11" s="33">
        <v>10.958686199999992</v>
      </c>
      <c r="F11" s="52">
        <v>53.747279415799973</v>
      </c>
      <c r="G11" s="34">
        <f>F11*B1</f>
        <v>188.11547795529989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1.2851562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45" x14ac:dyDescent="0.25">
      <c r="A4" s="51" t="s">
        <v>34</v>
      </c>
      <c r="B4" s="31" t="s">
        <v>15</v>
      </c>
      <c r="C4" s="31" t="s">
        <v>17</v>
      </c>
      <c r="D4" s="31" t="s">
        <v>18</v>
      </c>
      <c r="E4" s="31" t="s">
        <v>19</v>
      </c>
      <c r="F4" s="51" t="s">
        <v>20</v>
      </c>
      <c r="G4" s="36" t="s">
        <v>33</v>
      </c>
    </row>
    <row r="5" spans="1:7" x14ac:dyDescent="0.25">
      <c r="A5" s="47" t="s">
        <v>57</v>
      </c>
      <c r="B5" s="26">
        <v>353.33333333333309</v>
      </c>
      <c r="C5" s="27">
        <v>14.29245283018868</v>
      </c>
      <c r="D5" s="27">
        <v>6.6981132075471699</v>
      </c>
      <c r="E5" s="27">
        <v>5.8724357999999981</v>
      </c>
      <c r="F5" s="48">
        <v>16.85858721226667</v>
      </c>
      <c r="G5" s="16">
        <f>F5*3.5</f>
        <v>59.005055242933345</v>
      </c>
    </row>
    <row r="6" spans="1:7" x14ac:dyDescent="0.25">
      <c r="A6" s="7" t="s">
        <v>53</v>
      </c>
      <c r="B6" s="26">
        <v>336.66666666666652</v>
      </c>
      <c r="C6" s="27">
        <v>14.059405940594059</v>
      </c>
      <c r="D6" s="27">
        <v>6.5940594059405937</v>
      </c>
      <c r="E6" s="27">
        <v>5.3915091999999971</v>
      </c>
      <c r="F6" s="48">
        <v>15.194013829600005</v>
      </c>
      <c r="G6" s="16">
        <f t="shared" ref="G6:G16" si="0">F6*3.5</f>
        <v>53.179048403600014</v>
      </c>
    </row>
    <row r="7" spans="1:7" x14ac:dyDescent="0.25">
      <c r="A7" s="7" t="s">
        <v>54</v>
      </c>
      <c r="B7" s="26">
        <v>13.333333333333334</v>
      </c>
      <c r="C7" s="27">
        <v>20.25</v>
      </c>
      <c r="D7" s="27">
        <v>9.25</v>
      </c>
      <c r="E7" s="27">
        <v>0.42961380000000005</v>
      </c>
      <c r="F7" s="48">
        <v>1.5170585424</v>
      </c>
      <c r="G7" s="16">
        <f t="shared" si="0"/>
        <v>5.3097048983999997</v>
      </c>
    </row>
    <row r="8" spans="1:7" x14ac:dyDescent="0.25">
      <c r="A8" s="7" t="s">
        <v>62</v>
      </c>
      <c r="B8" s="26">
        <v>3.3333333333333335</v>
      </c>
      <c r="C8" s="27">
        <v>14</v>
      </c>
      <c r="D8" s="27">
        <v>7</v>
      </c>
      <c r="E8" s="27">
        <v>5.1312800000000013E-2</v>
      </c>
      <c r="F8" s="48">
        <v>0.14751484026666667</v>
      </c>
      <c r="G8" s="16">
        <f t="shared" si="0"/>
        <v>0.51630194093333337</v>
      </c>
    </row>
    <row r="9" spans="1:7" x14ac:dyDescent="0.25">
      <c r="A9" s="47" t="s">
        <v>56</v>
      </c>
      <c r="B9" s="26">
        <v>10</v>
      </c>
      <c r="C9" s="27">
        <v>25</v>
      </c>
      <c r="D9" s="27">
        <v>8</v>
      </c>
      <c r="E9" s="27">
        <v>0.56365540000000003</v>
      </c>
      <c r="F9" s="48">
        <v>2.3993846445333333</v>
      </c>
      <c r="G9" s="16">
        <f t="shared" si="0"/>
        <v>8.397846255866666</v>
      </c>
    </row>
    <row r="10" spans="1:7" x14ac:dyDescent="0.25">
      <c r="A10" s="7" t="s">
        <v>53</v>
      </c>
      <c r="B10" s="26">
        <v>3.3333333333333335</v>
      </c>
      <c r="C10" s="27">
        <v>12</v>
      </c>
      <c r="D10" s="27">
        <v>4</v>
      </c>
      <c r="E10" s="27">
        <v>3.7699200000000002E-2</v>
      </c>
      <c r="F10" s="48">
        <v>0.45040229999999998</v>
      </c>
      <c r="G10" s="16">
        <f t="shared" si="0"/>
        <v>1.5764080499999999</v>
      </c>
    </row>
    <row r="11" spans="1:7" x14ac:dyDescent="0.25">
      <c r="A11" s="7" t="s">
        <v>54</v>
      </c>
      <c r="B11" s="26">
        <v>3.3333333333333335</v>
      </c>
      <c r="C11" s="27">
        <v>28</v>
      </c>
      <c r="D11" s="27">
        <v>10</v>
      </c>
      <c r="E11" s="27">
        <v>0.20525120000000005</v>
      </c>
      <c r="F11" s="48">
        <v>0.76424295226666661</v>
      </c>
      <c r="G11" s="16">
        <f t="shared" si="0"/>
        <v>2.6748503329333331</v>
      </c>
    </row>
    <row r="12" spans="1:7" x14ac:dyDescent="0.25">
      <c r="A12" s="7" t="s">
        <v>60</v>
      </c>
      <c r="B12" s="26">
        <v>3.3333333333333335</v>
      </c>
      <c r="C12" s="27">
        <v>35</v>
      </c>
      <c r="D12" s="27">
        <v>10</v>
      </c>
      <c r="E12" s="27">
        <v>0.32070499999999996</v>
      </c>
      <c r="F12" s="48">
        <v>1.1847393922666667</v>
      </c>
      <c r="G12" s="16">
        <f t="shared" si="0"/>
        <v>4.146587872933333</v>
      </c>
    </row>
    <row r="13" spans="1:7" x14ac:dyDescent="0.25">
      <c r="A13" s="47" t="s">
        <v>59</v>
      </c>
      <c r="B13" s="26">
        <v>89.999999999999986</v>
      </c>
      <c r="C13" s="27">
        <v>21.296296296296298</v>
      </c>
      <c r="D13" s="27">
        <v>9.1481481481481488</v>
      </c>
      <c r="E13" s="27">
        <v>4.5225949999999999</v>
      </c>
      <c r="F13" s="48">
        <v>34.489307559000004</v>
      </c>
      <c r="G13" s="16">
        <f t="shared" si="0"/>
        <v>120.71257645650002</v>
      </c>
    </row>
    <row r="14" spans="1:7" x14ac:dyDescent="0.25">
      <c r="A14" s="7" t="s">
        <v>53</v>
      </c>
      <c r="B14" s="26">
        <v>66.666666666666686</v>
      </c>
      <c r="C14" s="27">
        <v>13.5</v>
      </c>
      <c r="D14" s="27">
        <v>6.25</v>
      </c>
      <c r="E14" s="27">
        <v>0.98541520000000005</v>
      </c>
      <c r="F14" s="48">
        <v>5.7656736640000004</v>
      </c>
      <c r="G14" s="16">
        <f t="shared" si="0"/>
        <v>20.179857824000003</v>
      </c>
    </row>
    <row r="15" spans="1:7" x14ac:dyDescent="0.25">
      <c r="A15" s="7" t="s">
        <v>60</v>
      </c>
      <c r="B15" s="26">
        <v>6.666666666666667</v>
      </c>
      <c r="C15" s="27">
        <v>37.5</v>
      </c>
      <c r="D15" s="27">
        <v>17.5</v>
      </c>
      <c r="E15" s="27">
        <v>0.73644339999999997</v>
      </c>
      <c r="F15" s="48">
        <v>6.0517692430000007</v>
      </c>
      <c r="G15" s="16">
        <f t="shared" si="0"/>
        <v>21.181192350500002</v>
      </c>
    </row>
    <row r="16" spans="1:7" x14ac:dyDescent="0.25">
      <c r="A16" s="7" t="s">
        <v>61</v>
      </c>
      <c r="B16" s="26">
        <v>3.3333333333333335</v>
      </c>
      <c r="C16" s="27">
        <v>55</v>
      </c>
      <c r="D16" s="27">
        <v>18</v>
      </c>
      <c r="E16" s="27">
        <v>0.79194500000000012</v>
      </c>
      <c r="F16" s="48">
        <v>6.5135481439999996</v>
      </c>
      <c r="G16" s="16">
        <f t="shared" si="0"/>
        <v>22.797418503999999</v>
      </c>
    </row>
    <row r="17" spans="1:7" x14ac:dyDescent="0.25">
      <c r="A17" s="7" t="s">
        <v>62</v>
      </c>
      <c r="B17" s="26">
        <v>13.333333333333334</v>
      </c>
      <c r="C17" s="27">
        <v>43.75</v>
      </c>
      <c r="D17" s="27">
        <v>17.25</v>
      </c>
      <c r="E17" s="27">
        <v>2.0087913999999998</v>
      </c>
      <c r="F17" s="48">
        <v>16.158316507999999</v>
      </c>
      <c r="G17" s="62">
        <f>F17*3.5</f>
        <v>56.554107777999995</v>
      </c>
    </row>
    <row r="18" spans="1:7" x14ac:dyDescent="0.25">
      <c r="A18" s="54" t="s">
        <v>13</v>
      </c>
      <c r="B18" s="45">
        <v>453.33333333333252</v>
      </c>
      <c r="C18" s="46">
        <v>15.919117647058824</v>
      </c>
      <c r="D18" s="46">
        <v>7.2132352941176467</v>
      </c>
      <c r="E18" s="46">
        <v>10.958686199999995</v>
      </c>
      <c r="F18" s="55">
        <v>53.747279415799994</v>
      </c>
      <c r="G18" s="35">
        <f>F18*3.5</f>
        <v>188.11547795529998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6"/>
  <sheetViews>
    <sheetView workbookViewId="0">
      <selection activeCell="G10" sqref="G10"/>
    </sheetView>
  </sheetViews>
  <sheetFormatPr baseColWidth="10" defaultColWidth="11.42578125" defaultRowHeight="15" x14ac:dyDescent="0.25"/>
  <cols>
    <col min="7" max="7" width="21.140625" customWidth="1"/>
    <col min="8" max="8" width="12.85546875" customWidth="1"/>
  </cols>
  <sheetData>
    <row r="3" spans="4:9" x14ac:dyDescent="0.25">
      <c r="D3" s="77" t="s">
        <v>35</v>
      </c>
      <c r="E3" s="77"/>
      <c r="F3" s="61" t="s">
        <v>36</v>
      </c>
      <c r="G3" s="61" t="s">
        <v>37</v>
      </c>
      <c r="H3" s="37" t="s">
        <v>38</v>
      </c>
      <c r="I3" s="64"/>
    </row>
    <row r="4" spans="4:9" x14ac:dyDescent="0.25">
      <c r="D4" s="77"/>
      <c r="E4" s="77"/>
      <c r="F4" s="38">
        <v>3.5</v>
      </c>
      <c r="G4" s="38">
        <v>2.0150000000000001</v>
      </c>
      <c r="H4" s="38">
        <v>6</v>
      </c>
      <c r="I4" s="64"/>
    </row>
    <row r="5" spans="4:9" x14ac:dyDescent="0.25">
      <c r="D5" s="61" t="s">
        <v>39</v>
      </c>
      <c r="E5" s="61" t="s">
        <v>40</v>
      </c>
      <c r="F5" s="61" t="s">
        <v>41</v>
      </c>
      <c r="G5" s="61" t="s">
        <v>42</v>
      </c>
      <c r="H5" s="61" t="s">
        <v>43</v>
      </c>
      <c r="I5" s="64"/>
    </row>
    <row r="6" spans="4:9" x14ac:dyDescent="0.25">
      <c r="D6" s="61">
        <v>1</v>
      </c>
      <c r="E6" s="49">
        <f>GETPIVOTDATA("Suma de Volumen/Ha.",'anexo 2'!$A$3,"Parcela",1)</f>
        <v>10.474667270933335</v>
      </c>
      <c r="F6" s="39">
        <f>E6*E6</f>
        <v>109.71865443676199</v>
      </c>
      <c r="G6" s="61" t="s">
        <v>44</v>
      </c>
      <c r="H6" s="40">
        <f>E16/H4</f>
        <v>8.9578799026333353</v>
      </c>
      <c r="I6" s="64"/>
    </row>
    <row r="7" spans="4:9" x14ac:dyDescent="0.25">
      <c r="D7" s="61">
        <v>2</v>
      </c>
      <c r="E7" s="49">
        <f>GETPIVOTDATA("Suma de Volumen/Ha.",'anexo 2'!$A$3,"Parcela",2)</f>
        <v>9.8678481184000013</v>
      </c>
      <c r="F7" s="39">
        <f>E7*E7</f>
        <v>97.374426487810453</v>
      </c>
      <c r="G7" s="61" t="s">
        <v>45</v>
      </c>
      <c r="H7" s="41">
        <f>(((F16)-((E16*E16)/H4))/(H4-1))</f>
        <v>3.1113277258516177</v>
      </c>
      <c r="I7" s="64"/>
    </row>
    <row r="8" spans="4:9" x14ac:dyDescent="0.25">
      <c r="D8" s="61">
        <v>3</v>
      </c>
      <c r="E8" s="49">
        <f>GETPIVOTDATA("Suma de Volumen/Ha.",'anexo 2'!$A$3,"Parcela",3)</f>
        <v>5.8019185864666669</v>
      </c>
      <c r="F8" s="39">
        <f>E8*E8</f>
        <v>33.662259283987368</v>
      </c>
      <c r="G8" s="61" t="s">
        <v>46</v>
      </c>
      <c r="H8" s="41">
        <f>SQRT(H7)</f>
        <v>1.7638956108147721</v>
      </c>
      <c r="I8" s="64"/>
    </row>
    <row r="9" spans="4:9" x14ac:dyDescent="0.25">
      <c r="D9" s="61">
        <v>4</v>
      </c>
      <c r="E9" s="49">
        <f>GETPIVOTDATA("Suma de Volumen/Ha.",'anexo 2'!$A$3,"Parcela",4)</f>
        <v>8.5875606276000021</v>
      </c>
      <c r="F9" s="39">
        <f t="shared" ref="F9:F15" si="0">E9*E9</f>
        <v>73.746197532705736</v>
      </c>
      <c r="G9" s="61" t="s">
        <v>47</v>
      </c>
      <c r="H9" s="41">
        <f>SQRT(((H7)/H4)*(1-((H4)/(F4*10))))</f>
        <v>0.65548420506812732</v>
      </c>
      <c r="I9" s="65"/>
    </row>
    <row r="10" spans="4:9" x14ac:dyDescent="0.25">
      <c r="D10" s="61">
        <v>5</v>
      </c>
      <c r="E10" s="49">
        <f>GETPIVOTDATA("Suma de Volumen/Ha.",'anexo 2'!$A$3,"Parcela",5)</f>
        <v>10.436686737666665</v>
      </c>
      <c r="F10" s="39">
        <f t="shared" si="0"/>
        <v>108.92443006018726</v>
      </c>
      <c r="G10" s="61" t="s">
        <v>48</v>
      </c>
      <c r="H10" s="41">
        <f>H9*G4</f>
        <v>1.3208006732122766</v>
      </c>
      <c r="I10" s="66"/>
    </row>
    <row r="11" spans="4:9" x14ac:dyDescent="0.25">
      <c r="D11" s="61">
        <v>6</v>
      </c>
      <c r="E11" s="49">
        <f>GETPIVOTDATA("Suma de Volumen/Ha.",'anexo 2'!$A$3,"Parcela",6)</f>
        <v>8.5785980747333337</v>
      </c>
      <c r="F11" s="39">
        <f t="shared" si="0"/>
        <v>73.592344927818459</v>
      </c>
      <c r="G11" s="61" t="s">
        <v>48</v>
      </c>
      <c r="H11" s="43">
        <f>((H10)/H6)</f>
        <v>0.14744567772381081</v>
      </c>
    </row>
    <row r="12" spans="4:9" x14ac:dyDescent="0.25">
      <c r="D12" s="61"/>
      <c r="E12" s="42"/>
      <c r="F12" s="39">
        <f t="shared" si="0"/>
        <v>0</v>
      </c>
      <c r="G12" s="61" t="s">
        <v>49</v>
      </c>
      <c r="H12" s="41">
        <f>H6+H10</f>
        <v>10.278680575845613</v>
      </c>
    </row>
    <row r="13" spans="4:9" x14ac:dyDescent="0.25">
      <c r="D13" s="61"/>
      <c r="E13" s="42"/>
      <c r="F13" s="39">
        <f t="shared" si="0"/>
        <v>0</v>
      </c>
      <c r="G13" s="61" t="s">
        <v>50</v>
      </c>
      <c r="H13" s="41">
        <f>H6-H10</f>
        <v>7.637079229421059</v>
      </c>
    </row>
    <row r="14" spans="4:9" x14ac:dyDescent="0.25">
      <c r="D14" s="61"/>
      <c r="E14" s="42"/>
      <c r="F14" s="39">
        <f t="shared" si="0"/>
        <v>0</v>
      </c>
      <c r="G14" s="61"/>
      <c r="H14" s="41"/>
    </row>
    <row r="15" spans="4:9" x14ac:dyDescent="0.25">
      <c r="D15" s="61"/>
      <c r="E15" s="42"/>
      <c r="F15" s="39">
        <f t="shared" si="0"/>
        <v>0</v>
      </c>
      <c r="G15" s="61"/>
      <c r="H15" s="41"/>
    </row>
    <row r="16" spans="4:9" x14ac:dyDescent="0.25">
      <c r="D16" s="61" t="s">
        <v>51</v>
      </c>
      <c r="E16" s="44">
        <f>SUM(E6:E15)</f>
        <v>53.747279415800008</v>
      </c>
      <c r="F16" s="44">
        <f>SUM(F6:F15)</f>
        <v>497.01831272927132</v>
      </c>
      <c r="G16" s="61"/>
      <c r="H16" s="61"/>
    </row>
  </sheetData>
  <mergeCells count="1">
    <mergeCell ref="D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4" sqref="G14"/>
    </sheetView>
  </sheetViews>
  <sheetFormatPr baseColWidth="10" defaultColWidth="11.42578125" defaultRowHeight="15" x14ac:dyDescent="0.25"/>
  <sheetData>
    <row r="1" spans="1:3" x14ac:dyDescent="0.25">
      <c r="A1" s="67" t="s">
        <v>21</v>
      </c>
      <c r="B1" s="67" t="s">
        <v>65</v>
      </c>
      <c r="C1" s="67" t="s">
        <v>66</v>
      </c>
    </row>
    <row r="2" spans="1:3" x14ac:dyDescent="0.25">
      <c r="A2" s="1">
        <v>1</v>
      </c>
      <c r="B2" s="1">
        <v>397682</v>
      </c>
      <c r="C2" s="1">
        <v>1719292</v>
      </c>
    </row>
    <row r="3" spans="1:3" x14ac:dyDescent="0.25">
      <c r="A3" s="1">
        <v>2</v>
      </c>
      <c r="B3" s="1">
        <v>397847</v>
      </c>
      <c r="C3" s="1">
        <v>1719279</v>
      </c>
    </row>
    <row r="4" spans="1:3" x14ac:dyDescent="0.25">
      <c r="A4" s="1">
        <v>3</v>
      </c>
      <c r="B4" s="1">
        <v>397769</v>
      </c>
      <c r="C4" s="1">
        <v>1719070</v>
      </c>
    </row>
    <row r="5" spans="1:3" x14ac:dyDescent="0.25">
      <c r="A5" s="1">
        <v>4</v>
      </c>
      <c r="B5" s="1">
        <v>397588</v>
      </c>
      <c r="C5" s="1">
        <v>1719135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E2" sqref="E2"/>
    </sheetView>
  </sheetViews>
  <sheetFormatPr baseColWidth="10" defaultColWidth="11.42578125" defaultRowHeight="15" x14ac:dyDescent="0.25"/>
  <cols>
    <col min="1" max="1" width="11.42578125" style="1"/>
    <col min="2" max="2" width="4.140625" bestFit="1" customWidth="1"/>
    <col min="3" max="3" width="7" bestFit="1" customWidth="1"/>
    <col min="4" max="4" width="8" bestFit="1" customWidth="1"/>
    <col min="5" max="5" width="19.7109375" bestFit="1" customWidth="1"/>
    <col min="6" max="6" width="13.42578125" bestFit="1" customWidth="1"/>
    <col min="7" max="7" width="19.7109375" bestFit="1" customWidth="1"/>
    <col min="8" max="8" width="4.28515625" bestFit="1" customWidth="1"/>
    <col min="9" max="9" width="9.5703125" bestFit="1" customWidth="1"/>
    <col min="10" max="10" width="6.140625" bestFit="1" customWidth="1"/>
    <col min="11" max="11" width="14" bestFit="1" customWidth="1"/>
  </cols>
  <sheetData>
    <row r="1" spans="1:11" x14ac:dyDescent="0.25">
      <c r="A1" s="69" t="s">
        <v>72</v>
      </c>
      <c r="B1" s="67" t="s">
        <v>21</v>
      </c>
      <c r="C1" s="67" t="s">
        <v>65</v>
      </c>
      <c r="D1" s="67" t="s">
        <v>66</v>
      </c>
      <c r="E1" s="67" t="s">
        <v>68</v>
      </c>
      <c r="F1" s="69" t="s">
        <v>73</v>
      </c>
      <c r="G1" s="67" t="s">
        <v>67</v>
      </c>
      <c r="H1" s="69" t="s">
        <v>74</v>
      </c>
      <c r="I1" s="69" t="s">
        <v>75</v>
      </c>
      <c r="J1" s="69" t="s">
        <v>76</v>
      </c>
      <c r="K1" s="67" t="s">
        <v>70</v>
      </c>
    </row>
    <row r="2" spans="1:11" x14ac:dyDescent="0.25">
      <c r="A2" s="70" t="s">
        <v>77</v>
      </c>
      <c r="B2" s="1">
        <v>1</v>
      </c>
      <c r="C2" s="1">
        <v>397714</v>
      </c>
      <c r="D2" s="1">
        <v>1719284</v>
      </c>
      <c r="E2">
        <f>500/10000</f>
        <v>0.05</v>
      </c>
      <c r="G2" s="68">
        <v>41306</v>
      </c>
      <c r="K2" t="s">
        <v>71</v>
      </c>
    </row>
    <row r="3" spans="1:11" x14ac:dyDescent="0.25">
      <c r="A3" s="70" t="s">
        <v>77</v>
      </c>
      <c r="B3" s="1">
        <v>2</v>
      </c>
      <c r="C3" s="1">
        <v>397792</v>
      </c>
      <c r="D3" s="1">
        <v>1719256</v>
      </c>
      <c r="E3" s="1">
        <f t="shared" ref="E3:E7" si="0">500/10000</f>
        <v>0.05</v>
      </c>
      <c r="G3" s="68">
        <v>41306</v>
      </c>
      <c r="K3" s="1" t="s">
        <v>71</v>
      </c>
    </row>
    <row r="4" spans="1:11" x14ac:dyDescent="0.25">
      <c r="A4" s="70" t="s">
        <v>77</v>
      </c>
      <c r="B4" s="1">
        <v>3</v>
      </c>
      <c r="C4" s="1">
        <v>397789</v>
      </c>
      <c r="D4" s="1">
        <v>1719210</v>
      </c>
      <c r="E4" s="1">
        <f t="shared" si="0"/>
        <v>0.05</v>
      </c>
      <c r="G4" s="68">
        <v>41306</v>
      </c>
      <c r="K4" s="1" t="s">
        <v>71</v>
      </c>
    </row>
    <row r="5" spans="1:11" x14ac:dyDescent="0.25">
      <c r="A5" s="70" t="s">
        <v>77</v>
      </c>
      <c r="B5" s="1">
        <v>4</v>
      </c>
      <c r="C5" s="1">
        <v>397730</v>
      </c>
      <c r="D5" s="1">
        <v>1719152</v>
      </c>
      <c r="E5" s="1">
        <f t="shared" si="0"/>
        <v>0.05</v>
      </c>
      <c r="G5" s="68">
        <v>41306</v>
      </c>
      <c r="K5" s="1" t="s">
        <v>71</v>
      </c>
    </row>
    <row r="6" spans="1:11" x14ac:dyDescent="0.25">
      <c r="A6" s="70" t="s">
        <v>77</v>
      </c>
      <c r="B6" s="1">
        <v>5</v>
      </c>
      <c r="C6" s="1">
        <v>397752</v>
      </c>
      <c r="D6" s="1">
        <v>1719100</v>
      </c>
      <c r="E6" s="1">
        <f t="shared" si="0"/>
        <v>0.05</v>
      </c>
      <c r="G6" s="68">
        <v>41306</v>
      </c>
      <c r="K6" s="1" t="s">
        <v>71</v>
      </c>
    </row>
    <row r="7" spans="1:11" x14ac:dyDescent="0.25">
      <c r="A7" s="70" t="s">
        <v>77</v>
      </c>
      <c r="B7" s="1">
        <v>6</v>
      </c>
      <c r="C7" s="1">
        <v>397679</v>
      </c>
      <c r="D7" s="1">
        <v>1719228</v>
      </c>
      <c r="E7" s="1">
        <f t="shared" si="0"/>
        <v>0.05</v>
      </c>
      <c r="G7" s="68">
        <v>41306</v>
      </c>
      <c r="K7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de datos</vt:lpstr>
      <vt:lpstr>% de abundancia</vt:lpstr>
      <vt:lpstr>Hoja1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dcterms:created xsi:type="dcterms:W3CDTF">2013-02-20T15:36:32Z</dcterms:created>
  <dcterms:modified xsi:type="dcterms:W3CDTF">2017-03-26T05:56:50Z</dcterms:modified>
</cp:coreProperties>
</file>