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CARBONO_REDD+GT\ASINFOR\HENRY_LOPEZ_IF_2013\"/>
    </mc:Choice>
  </mc:AlternateContent>
  <bookViews>
    <workbookView xWindow="240" yWindow="75" windowWidth="15480" windowHeight="7995" firstSheet="1" activeTab="7"/>
  </bookViews>
  <sheets>
    <sheet name="base de datos" sheetId="1" r:id="rId1"/>
    <sheet name="% de abundancia" sheetId="4" r:id="rId2"/>
    <sheet name="cuadro 3" sheetId="5" r:id="rId3"/>
    <sheet name="anexo 2" sheetId="6" r:id="rId4"/>
    <sheet name="anexo 3" sheetId="7" r:id="rId5"/>
    <sheet name="analisis" sheetId="2" r:id="rId6"/>
    <sheet name="P. referencia" sheetId="8" r:id="rId7"/>
    <sheet name="Parcelas" sheetId="9" r:id="rId8"/>
  </sheets>
  <definedNames>
    <definedName name="_xlnm._FilterDatabase" localSheetId="0" hidden="1">'base de datos'!$A$1:$L$108</definedName>
  </definedNames>
  <calcPr calcId="152511"/>
  <pivotCaches>
    <pivotCache cacheId="28" r:id="rId9"/>
  </pivotCaches>
</workbook>
</file>

<file path=xl/calcChain.xml><?xml version="1.0" encoding="utf-8"?>
<calcChain xmlns="http://schemas.openxmlformats.org/spreadsheetml/2006/main">
  <c r="E7" i="9" l="1"/>
  <c r="E6" i="9"/>
  <c r="E5" i="9"/>
  <c r="E4" i="9"/>
  <c r="E3" i="9"/>
  <c r="E2" i="9"/>
  <c r="L108" i="1" l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I3" i="1"/>
  <c r="H14" i="1"/>
  <c r="J14" i="1"/>
  <c r="J106" i="1"/>
  <c r="J107" i="1"/>
  <c r="J105" i="1"/>
  <c r="H107" i="1"/>
  <c r="H106" i="1"/>
  <c r="H105" i="1"/>
  <c r="J86" i="1"/>
  <c r="J85" i="1"/>
  <c r="J84" i="1"/>
  <c r="H86" i="1"/>
  <c r="H85" i="1"/>
  <c r="H84" i="1"/>
  <c r="H83" i="1"/>
  <c r="J83" i="1"/>
  <c r="H87" i="1"/>
  <c r="J87" i="1"/>
  <c r="H88" i="1"/>
  <c r="J88" i="1"/>
  <c r="H89" i="1"/>
  <c r="J89" i="1"/>
  <c r="H78" i="1"/>
  <c r="J78" i="1"/>
  <c r="J46" i="1"/>
  <c r="J45" i="1"/>
  <c r="J44" i="1"/>
  <c r="H46" i="1"/>
  <c r="H45" i="1"/>
  <c r="H44" i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5" i="7"/>
  <c r="G6" i="6"/>
  <c r="G7" i="6"/>
  <c r="G8" i="6"/>
  <c r="G9" i="6"/>
  <c r="G10" i="6"/>
  <c r="G11" i="6"/>
  <c r="G5" i="6"/>
  <c r="C18" i="4"/>
  <c r="C17" i="4"/>
  <c r="C16" i="4"/>
  <c r="C15" i="4"/>
  <c r="J104" i="1"/>
  <c r="J98" i="1"/>
  <c r="J97" i="1"/>
  <c r="J95" i="1"/>
  <c r="J90" i="1"/>
  <c r="J60" i="1"/>
  <c r="J59" i="1"/>
  <c r="J57" i="1"/>
  <c r="J56" i="1"/>
  <c r="J55" i="1"/>
  <c r="J54" i="1"/>
  <c r="J17" i="1"/>
  <c r="J15" i="1"/>
  <c r="J11" i="1"/>
  <c r="J103" i="1"/>
  <c r="J102" i="1"/>
  <c r="J96" i="1"/>
  <c r="J61" i="1"/>
  <c r="J58" i="1"/>
  <c r="J53" i="1"/>
  <c r="J52" i="1"/>
  <c r="J51" i="1"/>
  <c r="J50" i="1"/>
  <c r="J49" i="1"/>
  <c r="J48" i="1"/>
  <c r="J47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6" i="1"/>
  <c r="J13" i="1"/>
  <c r="J12" i="1"/>
  <c r="J9" i="1"/>
  <c r="J8" i="1"/>
  <c r="J7" i="1"/>
  <c r="J6" i="1"/>
  <c r="J5" i="1"/>
  <c r="J3" i="1"/>
  <c r="J93" i="1"/>
  <c r="J92" i="1"/>
  <c r="J4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10" i="1"/>
  <c r="J108" i="1"/>
  <c r="J101" i="1"/>
  <c r="J100" i="1"/>
  <c r="J99" i="1"/>
  <c r="J94" i="1"/>
  <c r="J91" i="1"/>
  <c r="J82" i="1"/>
  <c r="J81" i="1"/>
  <c r="J80" i="1"/>
  <c r="J79" i="1"/>
  <c r="J77" i="1"/>
  <c r="J76" i="1"/>
  <c r="I15" i="5"/>
  <c r="G15" i="5"/>
  <c r="E15" i="5"/>
  <c r="F16" i="5"/>
  <c r="E16" i="4"/>
  <c r="I17" i="5"/>
  <c r="E17" i="5"/>
  <c r="G16" i="5"/>
  <c r="I14" i="5"/>
  <c r="G14" i="5"/>
  <c r="E14" i="5"/>
  <c r="E17" i="4"/>
  <c r="H15" i="5"/>
  <c r="H14" i="5"/>
  <c r="E15" i="4"/>
  <c r="G17" i="5"/>
  <c r="I16" i="5"/>
  <c r="H17" i="5"/>
  <c r="F17" i="5"/>
  <c r="E18" i="4"/>
  <c r="H16" i="5"/>
  <c r="F15" i="5"/>
  <c r="F14" i="5"/>
  <c r="E16" i="5"/>
  <c r="H73" i="1" l="1"/>
  <c r="H74" i="1"/>
  <c r="H75" i="1"/>
  <c r="H76" i="1"/>
  <c r="H77" i="1"/>
  <c r="H79" i="1"/>
  <c r="H80" i="1"/>
  <c r="H81" i="1"/>
  <c r="H82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8" i="1"/>
  <c r="D17" i="5" l="1"/>
  <c r="D16" i="5"/>
  <c r="D15" i="5"/>
  <c r="D14" i="5"/>
  <c r="J2" i="1"/>
  <c r="D18" i="4"/>
  <c r="D17" i="4"/>
  <c r="D16" i="4"/>
  <c r="D15" i="4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J15" i="5" l="1"/>
  <c r="J16" i="5"/>
  <c r="J17" i="5"/>
  <c r="E19" i="4"/>
  <c r="F15" i="4" s="1"/>
  <c r="H3" i="1"/>
  <c r="O3" i="1"/>
  <c r="H56" i="1"/>
  <c r="H55" i="1"/>
  <c r="H54" i="1"/>
  <c r="H53" i="1"/>
  <c r="H52" i="1"/>
  <c r="H51" i="1"/>
  <c r="H50" i="1"/>
  <c r="H49" i="1"/>
  <c r="H48" i="1"/>
  <c r="H47" i="1"/>
  <c r="H25" i="1"/>
  <c r="H24" i="1"/>
  <c r="K10" i="4"/>
  <c r="L7" i="5"/>
  <c r="C16" i="2"/>
  <c r="F6" i="2" s="1"/>
  <c r="D15" i="2"/>
  <c r="D14" i="2"/>
  <c r="D13" i="2"/>
  <c r="D12" i="2"/>
  <c r="D11" i="2"/>
  <c r="D10" i="2"/>
  <c r="D9" i="2"/>
  <c r="D8" i="2"/>
  <c r="D7" i="2"/>
  <c r="D6" i="2"/>
  <c r="H4" i="1"/>
  <c r="H5" i="1"/>
  <c r="H6" i="1"/>
  <c r="H7" i="1"/>
  <c r="H8" i="1"/>
  <c r="H9" i="1"/>
  <c r="H10" i="1"/>
  <c r="H11" i="1"/>
  <c r="H12" i="1"/>
  <c r="H13" i="1"/>
  <c r="H15" i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H18" i="5"/>
  <c r="G18" i="5"/>
  <c r="F18" i="5"/>
  <c r="I18" i="5"/>
  <c r="D16" i="2" l="1"/>
  <c r="J18" i="5"/>
  <c r="F18" i="4"/>
  <c r="F16" i="4"/>
  <c r="F17" i="4"/>
  <c r="F7" i="2"/>
  <c r="F9" i="2" s="1"/>
  <c r="F10" i="2" s="1"/>
  <c r="F11" i="2" s="1"/>
  <c r="E18" i="5"/>
  <c r="J14" i="5"/>
  <c r="F19" i="4" l="1"/>
  <c r="F8" i="2"/>
  <c r="F13" i="2"/>
  <c r="F12" i="2"/>
</calcChain>
</file>

<file path=xl/sharedStrings.xml><?xml version="1.0" encoding="utf-8"?>
<sst xmlns="http://schemas.openxmlformats.org/spreadsheetml/2006/main" count="451" uniqueCount="78">
  <si>
    <t>Parcela</t>
  </si>
  <si>
    <t>No. Arbol</t>
  </si>
  <si>
    <t>Nombre común</t>
  </si>
  <si>
    <t>Especie</t>
  </si>
  <si>
    <t>Clase diámetrica</t>
  </si>
  <si>
    <t>DAP (cm)</t>
  </si>
  <si>
    <t>Altura (m)</t>
  </si>
  <si>
    <t>Area Basal (m2)</t>
  </si>
  <si>
    <t>AB/Ha.</t>
  </si>
  <si>
    <t>Volumen (m3)</t>
  </si>
  <si>
    <t>Volumen/Ha.</t>
  </si>
  <si>
    <t>Densidad/Ha.</t>
  </si>
  <si>
    <t>Rótulos de fila</t>
  </si>
  <si>
    <t>Total general</t>
  </si>
  <si>
    <t>Cuenta de No. Arbol</t>
  </si>
  <si>
    <t>Suma de Densidad/Ha.</t>
  </si>
  <si>
    <t>Valores</t>
  </si>
  <si>
    <t>Promedio de DAP (cm)</t>
  </si>
  <si>
    <t>Promedio de Altura (m)</t>
  </si>
  <si>
    <t>Suma de AB/Ha.</t>
  </si>
  <si>
    <t>Suma de Volumen/Ha.</t>
  </si>
  <si>
    <t>No.</t>
  </si>
  <si>
    <t>NOMBRE COMUN</t>
  </si>
  <si>
    <t>ESPECIE</t>
  </si>
  <si>
    <t>PRESENCIA</t>
  </si>
  <si>
    <t>% DE ABUNDANCIA</t>
  </si>
  <si>
    <t>Total General</t>
  </si>
  <si>
    <t>Rodal</t>
  </si>
  <si>
    <t>Área (has)</t>
  </si>
  <si>
    <r>
      <t>Volumen m</t>
    </r>
    <r>
      <rPr>
        <b/>
        <sz val="11"/>
        <color theme="1"/>
        <rFont val="Calibri"/>
        <family val="2"/>
      </rPr>
      <t>³</t>
    </r>
  </si>
  <si>
    <t>Ha.</t>
  </si>
  <si>
    <t>Volumen/ Rodal</t>
  </si>
  <si>
    <t>No. De Parcela</t>
  </si>
  <si>
    <t>Volumen Total</t>
  </si>
  <si>
    <t>Especie y Clase Diametrica</t>
  </si>
  <si>
    <t>ANALISIS ESTADISTICO</t>
  </si>
  <si>
    <t>AREA (Ha.)</t>
  </si>
  <si>
    <t>VALOR DE T</t>
  </si>
  <si>
    <t>No. PARCELAS</t>
  </si>
  <si>
    <t>PARCELA</t>
  </si>
  <si>
    <t>VOLUMEN/ha</t>
  </si>
  <si>
    <t>(VOLUMEN)²</t>
  </si>
  <si>
    <t>PARAMETRO</t>
  </si>
  <si>
    <t>RESULTADO</t>
  </si>
  <si>
    <t>MEDIA ARITMETICA</t>
  </si>
  <si>
    <t xml:space="preserve">VARIANZA </t>
  </si>
  <si>
    <t>DESVIACION ESTANDAR</t>
  </si>
  <si>
    <t>ERROR ESTANDAR</t>
  </si>
  <si>
    <t>ERROR DE MUESTREO</t>
  </si>
  <si>
    <t xml:space="preserve">LIMITE SUPERIOR </t>
  </si>
  <si>
    <t>LIMITE INFERIOR</t>
  </si>
  <si>
    <t>TOTAL</t>
  </si>
  <si>
    <t>10 - 19.9</t>
  </si>
  <si>
    <t>20 - 29.9</t>
  </si>
  <si>
    <t>Aliso</t>
  </si>
  <si>
    <t>Alnus sp.</t>
  </si>
  <si>
    <t>area</t>
  </si>
  <si>
    <t>ha.</t>
  </si>
  <si>
    <t>mts.</t>
  </si>
  <si>
    <t>Ciprés</t>
  </si>
  <si>
    <t>Cupresus lusitanica</t>
  </si>
  <si>
    <t>Pinus psudostrobus</t>
  </si>
  <si>
    <t>30 - 39.9</t>
  </si>
  <si>
    <t>Pino triste</t>
  </si>
  <si>
    <t xml:space="preserve">Palo negro </t>
  </si>
  <si>
    <t>Quercus brachystachys</t>
  </si>
  <si>
    <t>X</t>
  </si>
  <si>
    <t>Y</t>
  </si>
  <si>
    <t>Propietario</t>
  </si>
  <si>
    <t>Diego Bernabé</t>
  </si>
  <si>
    <t>area parcela</t>
  </si>
  <si>
    <t>BASE_DATOS</t>
  </si>
  <si>
    <t>AREA_SITIO_HA</t>
  </si>
  <si>
    <t>Fecha de recolección</t>
  </si>
  <si>
    <t>AÑO</t>
  </si>
  <si>
    <t>MUNICIPIO</t>
  </si>
  <si>
    <t>DEPTO</t>
  </si>
  <si>
    <t>BD3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</si>
</sst>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\ &quot;m³&quot;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2" fillId="4" borderId="1" xfId="0" applyFont="1" applyFill="1" applyBorder="1" applyAlignment="1">
      <alignment horizontal="left"/>
    </xf>
    <xf numFmtId="1" fontId="2" fillId="4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1" fontId="2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 wrapText="1"/>
    </xf>
    <xf numFmtId="2" fontId="0" fillId="5" borderId="1" xfId="0" applyNumberFormat="1" applyFill="1" applyBorder="1" applyAlignment="1">
      <alignment horizontal="center" wrapText="1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7" borderId="1" xfId="1" applyFont="1" applyFill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right"/>
    </xf>
    <xf numFmtId="164" fontId="6" fillId="0" borderId="1" xfId="1" applyNumberFormat="1" applyFont="1" applyBorder="1" applyAlignment="1">
      <alignment horizontal="right"/>
    </xf>
    <xf numFmtId="2" fontId="0" fillId="0" borderId="1" xfId="0" applyNumberFormat="1" applyFill="1" applyBorder="1" applyAlignment="1">
      <alignment horizontal="center" vertical="center"/>
    </xf>
    <xf numFmtId="10" fontId="6" fillId="8" borderId="1" xfId="2" applyNumberFormat="1" applyFont="1" applyFill="1" applyBorder="1" applyAlignment="1">
      <alignment horizontal="right"/>
    </xf>
    <xf numFmtId="164" fontId="6" fillId="0" borderId="1" xfId="1" applyNumberFormat="1" applyFont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left"/>
    </xf>
    <xf numFmtId="0" fontId="0" fillId="3" borderId="0" xfId="0" applyFill="1" applyBorder="1"/>
    <xf numFmtId="0" fontId="2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7" fillId="9" borderId="0" xfId="0" applyFont="1" applyFill="1" applyBorder="1"/>
    <xf numFmtId="0" fontId="0" fillId="11" borderId="0" xfId="0" applyFill="1" applyBorder="1"/>
    <xf numFmtId="0" fontId="0" fillId="10" borderId="0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/>
    </xf>
    <xf numFmtId="2" fontId="2" fillId="4" borderId="1" xfId="0" applyNumberFormat="1" applyFont="1" applyFill="1" applyBorder="1"/>
    <xf numFmtId="2" fontId="2" fillId="4" borderId="1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2" fontId="0" fillId="5" borderId="1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2" fontId="0" fillId="3" borderId="0" xfId="0" applyNumberFormat="1" applyFill="1" applyBorder="1"/>
    <xf numFmtId="2" fontId="0" fillId="3" borderId="0" xfId="0" applyNumberFormat="1" applyFont="1" applyFill="1" applyBorder="1"/>
    <xf numFmtId="0" fontId="0" fillId="3" borderId="0" xfId="0" applyFill="1"/>
    <xf numFmtId="0" fontId="0" fillId="3" borderId="0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7" fontId="0" fillId="0" borderId="0" xfId="0" applyNumberForma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3">
    <cellStyle name="Normal" xfId="0" builtinId="0"/>
    <cellStyle name="Normal 2" xfId="1"/>
    <cellStyle name="Porcentaje 2" xfId="2"/>
  </cellStyles>
  <dxfs count="40">
    <dxf>
      <border>
        <bottom style="thin">
          <color indexed="64"/>
        </bottom>
        <horizontal style="thin">
          <color indexed="64"/>
        </horizontal>
      </border>
    </dxf>
    <dxf>
      <alignment horizontal="center" readingOrder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numFmt numFmtId="2" formatCode="0.00"/>
    </dxf>
    <dxf>
      <numFmt numFmtId="1" formatCode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final" refreshedDate="41614.073754282406" createdVersion="3" refreshedVersion="3" minRefreshableVersion="3" recordCount="107">
  <cacheSource type="worksheet">
    <worksheetSource ref="A1:L108" sheet="base de datos"/>
  </cacheSource>
  <cacheFields count="12">
    <cacheField name="Parcela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No. Arbol" numFmtId="0">
      <sharedItems containsSemiMixedTypes="0" containsString="0" containsNumber="1" containsInteger="1" minValue="1" maxValue="28"/>
    </cacheField>
    <cacheField name="Nombre común" numFmtId="0">
      <sharedItems count="4">
        <s v="Palo negro "/>
        <s v="Aliso"/>
        <s v="Pino triste"/>
        <s v="Ciprés"/>
      </sharedItems>
    </cacheField>
    <cacheField name="Especie" numFmtId="0">
      <sharedItems count="4">
        <s v="Quercus brachystachys"/>
        <s v="Alnus sp."/>
        <s v="Pinus psudostrobus"/>
        <s v="Cupresus lusitanica"/>
      </sharedItems>
    </cacheField>
    <cacheField name="Clase diámetrica" numFmtId="0">
      <sharedItems count="4">
        <s v="20 - 29.9"/>
        <s v="10 - 19.9"/>
        <s v="30 - 39.9"/>
        <s v="40 - 49.9" u="1"/>
      </sharedItems>
    </cacheField>
    <cacheField name="DAP (cm)" numFmtId="0">
      <sharedItems containsSemiMixedTypes="0" containsString="0" containsNumber="1" minValue="10" maxValue="39"/>
    </cacheField>
    <cacheField name="Altura (m)" numFmtId="0">
      <sharedItems containsSemiMixedTypes="0" containsString="0" containsNumber="1" containsInteger="1" minValue="7" maxValue="19"/>
    </cacheField>
    <cacheField name="Area Basal (m2)" numFmtId="2">
      <sharedItems containsSemiMixedTypes="0" containsString="0" containsNumber="1" minValue="7.8540000000000016E-3" maxValue="0.11945934000000001"/>
    </cacheField>
    <cacheField name="AB/Ha." numFmtId="2">
      <sharedItems containsSemiMixedTypes="0" containsString="0" containsNumber="1" minValue="2.6180000000000005E-2" maxValue="0.39819780000000005"/>
    </cacheField>
    <cacheField name="Volumen (m3)" numFmtId="2">
      <sharedItems containsSemiMixedTypes="0" containsString="0" containsNumber="1" minValue="3.6595912199999997E-2" maxValue="7.936033065920002"/>
    </cacheField>
    <cacheField name="Volumen/Ha." numFmtId="2">
      <sharedItems containsSemiMixedTypes="0" containsString="0" containsNumber="1" minValue="0.12198637399999999" maxValue="26.453443553066673"/>
    </cacheField>
    <cacheField name="Densidad/Ha." numFmtId="2">
      <sharedItems containsSemiMixedTypes="0" containsString="0" containsNumber="1" minValue="3.3333333333333335" maxValue="3.3333333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n v="1"/>
    <x v="0"/>
    <x v="0"/>
    <x v="0"/>
    <n v="21"/>
    <n v="14"/>
    <n v="3.4636139999999996E-2"/>
    <n v="0.1154538"/>
    <n v="0.395422092"/>
    <n v="1.3180736400000002"/>
    <n v="3.3333333333333335"/>
  </r>
  <r>
    <x v="0"/>
    <n v="2"/>
    <x v="0"/>
    <x v="0"/>
    <x v="1"/>
    <n v="11"/>
    <n v="10"/>
    <n v="9.503339999999999E-3"/>
    <n v="3.1677799999999999E-2"/>
    <n v="0.164601056"/>
    <n v="0.54867018666666667"/>
    <n v="3.3333333333333335"/>
  </r>
  <r>
    <x v="0"/>
    <n v="3"/>
    <x v="1"/>
    <x v="1"/>
    <x v="1"/>
    <n v="14"/>
    <n v="9"/>
    <n v="1.5393840000000002E-2"/>
    <n v="5.1312800000000013E-2"/>
    <n v="0.19036150200000002"/>
    <n v="0.63453834000000009"/>
    <n v="3.3333333333333335"/>
  </r>
  <r>
    <x v="0"/>
    <n v="4"/>
    <x v="0"/>
    <x v="0"/>
    <x v="1"/>
    <n v="13"/>
    <n v="12"/>
    <n v="1.3273260000000002E-2"/>
    <n v="4.4244200000000011E-2"/>
    <n v="0.202637238"/>
    <n v="0.67545746000000007"/>
    <n v="3.3333333333333335"/>
  </r>
  <r>
    <x v="0"/>
    <n v="5"/>
    <x v="0"/>
    <x v="0"/>
    <x v="1"/>
    <n v="13"/>
    <n v="10"/>
    <n v="1.3273260000000002E-2"/>
    <n v="4.4244200000000011E-2"/>
    <n v="0.186920576"/>
    <n v="0.62306858666666676"/>
    <n v="3.3333333333333335"/>
  </r>
  <r>
    <x v="0"/>
    <n v="6"/>
    <x v="0"/>
    <x v="0"/>
    <x v="1"/>
    <n v="15"/>
    <n v="10"/>
    <n v="1.76715E-2"/>
    <n v="5.8904999999999999E-2"/>
    <n v="0.212960016"/>
    <n v="0.70986672000000006"/>
    <n v="3.3333333333333335"/>
  </r>
  <r>
    <x v="0"/>
    <n v="7"/>
    <x v="0"/>
    <x v="0"/>
    <x v="1"/>
    <n v="12"/>
    <n v="8"/>
    <n v="1.130976E-2"/>
    <n v="3.7699200000000002E-2"/>
    <n v="0.16190411399999999"/>
    <n v="0.53968037999999996"/>
    <n v="3.3333333333333335"/>
  </r>
  <r>
    <x v="0"/>
    <n v="8"/>
    <x v="0"/>
    <x v="0"/>
    <x v="1"/>
    <n v="15"/>
    <n v="10"/>
    <n v="1.76715E-2"/>
    <n v="5.8904999999999999E-2"/>
    <n v="0.212960016"/>
    <n v="0.70986672000000006"/>
    <n v="3.3333333333333335"/>
  </r>
  <r>
    <x v="0"/>
    <n v="9"/>
    <x v="1"/>
    <x v="1"/>
    <x v="1"/>
    <n v="15"/>
    <n v="10"/>
    <n v="1.76715E-2"/>
    <n v="5.8904999999999999E-2"/>
    <n v="0.212960016"/>
    <n v="0.70986672000000006"/>
    <n v="3.3333333333333335"/>
  </r>
  <r>
    <x v="0"/>
    <n v="11"/>
    <x v="2"/>
    <x v="2"/>
    <x v="1"/>
    <n v="18"/>
    <n v="15"/>
    <n v="2.5446959999999998E-2"/>
    <n v="8.4823200000000001E-2"/>
    <n v="1.3952938968000002"/>
    <n v="4.6509796560000005"/>
    <n v="3.3333333333333335"/>
  </r>
  <r>
    <x v="0"/>
    <n v="12"/>
    <x v="0"/>
    <x v="0"/>
    <x v="1"/>
    <n v="11"/>
    <n v="10"/>
    <n v="9.503339999999999E-3"/>
    <n v="3.1677799999999999E-2"/>
    <n v="0.164601056"/>
    <n v="0.54867018666666667"/>
    <n v="3.3333333333333335"/>
  </r>
  <r>
    <x v="0"/>
    <n v="13"/>
    <x v="0"/>
    <x v="0"/>
    <x v="1"/>
    <n v="10"/>
    <n v="9"/>
    <n v="7.8540000000000016E-3"/>
    <n v="2.6180000000000005E-2"/>
    <n v="0.15018636600000002"/>
    <n v="0.50062122000000009"/>
    <n v="3.3333333333333335"/>
  </r>
  <r>
    <x v="0"/>
    <n v="14"/>
    <x v="2"/>
    <x v="2"/>
    <x v="2"/>
    <n v="39"/>
    <n v="18"/>
    <n v="0.11945934000000001"/>
    <n v="0.39819780000000005"/>
    <n v="7.8366128328000002"/>
    <n v="26.122042776000001"/>
    <n v="3.3333333333333335"/>
  </r>
  <r>
    <x v="0"/>
    <n v="15"/>
    <x v="2"/>
    <x v="2"/>
    <x v="1"/>
    <n v="14"/>
    <n v="11"/>
    <n v="1.5393840000000002E-2"/>
    <n v="5.1312800000000013E-2"/>
    <n v="0.62180928879999997"/>
    <n v="2.0726976293333332"/>
    <n v="3.3333333333333335"/>
  </r>
  <r>
    <x v="0"/>
    <n v="16"/>
    <x v="0"/>
    <x v="0"/>
    <x v="1"/>
    <n v="19"/>
    <n v="14"/>
    <n v="2.835294E-2"/>
    <n v="9.4509800000000005E-2"/>
    <n v="0.34334321200000001"/>
    <n v="1.1444773733333333"/>
    <n v="3.3333333333333335"/>
  </r>
  <r>
    <x v="1"/>
    <n v="1"/>
    <x v="2"/>
    <x v="2"/>
    <x v="2"/>
    <n v="38.200000000000003"/>
    <n v="19"/>
    <n v="0.1146087096"/>
    <n v="0.38202903199999999"/>
    <n v="7.936033065920002"/>
    <n v="26.453443553066673"/>
    <n v="3.3333333333333335"/>
  </r>
  <r>
    <x v="1"/>
    <n v="2"/>
    <x v="0"/>
    <x v="0"/>
    <x v="0"/>
    <n v="20"/>
    <n v="9"/>
    <n v="3.1416000000000006E-2"/>
    <n v="0.10472000000000002"/>
    <n v="0.27573366599999999"/>
    <n v="0.91911222000000004"/>
    <n v="3.3333333333333335"/>
  </r>
  <r>
    <x v="1"/>
    <n v="3"/>
    <x v="0"/>
    <x v="0"/>
    <x v="1"/>
    <n v="16"/>
    <n v="9"/>
    <n v="2.0106240000000001E-2"/>
    <n v="6.7020800000000005E-2"/>
    <n v="0.21547096199999999"/>
    <n v="0.71823654000000003"/>
    <n v="3.3333333333333335"/>
  </r>
  <r>
    <x v="1"/>
    <n v="4"/>
    <x v="0"/>
    <x v="0"/>
    <x v="0"/>
    <n v="23.2"/>
    <n v="12"/>
    <n v="4.2273369599999992E-2"/>
    <n v="0.14091123199999997"/>
    <n v="0.40866872712000002"/>
    <n v="1.3622290904000001"/>
    <n v="3.3333333333333335"/>
  </r>
  <r>
    <x v="1"/>
    <n v="5"/>
    <x v="0"/>
    <x v="0"/>
    <x v="1"/>
    <n v="16.5"/>
    <n v="10"/>
    <n v="2.1382515000000001E-2"/>
    <n v="7.1275050000000006E-2"/>
    <n v="0.23493079350000001"/>
    <n v="0.78310264500000004"/>
    <n v="3.3333333333333335"/>
  </r>
  <r>
    <x v="1"/>
    <n v="6"/>
    <x v="0"/>
    <x v="0"/>
    <x v="1"/>
    <n v="14.3"/>
    <n v="10"/>
    <n v="1.6060644600000003E-2"/>
    <n v="5.3535482000000016E-2"/>
    <n v="0.20342307110000002"/>
    <n v="0.67807690366666673"/>
    <n v="3.3333333333333335"/>
  </r>
  <r>
    <x v="1"/>
    <n v="7"/>
    <x v="0"/>
    <x v="0"/>
    <x v="2"/>
    <n v="36"/>
    <n v="17"/>
    <n v="0.10178783999999999"/>
    <n v="0.33929280000000001"/>
    <n v="1.132803234"/>
    <n v="3.7760107800000005"/>
    <n v="3.3333333333333335"/>
  </r>
  <r>
    <x v="1"/>
    <n v="8"/>
    <x v="0"/>
    <x v="0"/>
    <x v="0"/>
    <n v="24.5"/>
    <n v="17"/>
    <n v="4.7143634999999996E-2"/>
    <n v="0.15714544999999999"/>
    <n v="0.5828246867500001"/>
    <n v="1.9427489558333337"/>
    <n v="3.3333333333333335"/>
  </r>
  <r>
    <x v="1"/>
    <n v="9"/>
    <x v="0"/>
    <x v="0"/>
    <x v="1"/>
    <n v="17.3"/>
    <n v="14"/>
    <n v="2.3506236600000004E-2"/>
    <n v="7.8354122000000012E-2"/>
    <n v="0.30317086594000003"/>
    <n v="1.0105695531333334"/>
    <n v="3.3333333333333335"/>
  </r>
  <r>
    <x v="1"/>
    <n v="10"/>
    <x v="0"/>
    <x v="0"/>
    <x v="1"/>
    <n v="13.5"/>
    <n v="9"/>
    <n v="1.4313915000000002E-2"/>
    <n v="4.7713050000000007E-2"/>
    <n v="0.18460725075000001"/>
    <n v="0.6153575025000001"/>
    <n v="3.3333333333333335"/>
  </r>
  <r>
    <x v="1"/>
    <n v="11"/>
    <x v="0"/>
    <x v="0"/>
    <x v="1"/>
    <n v="12"/>
    <n v="8"/>
    <n v="1.130976E-2"/>
    <n v="3.7699200000000002E-2"/>
    <n v="0.16190411399999999"/>
    <n v="0.53968037999999996"/>
    <n v="3.3333333333333335"/>
  </r>
  <r>
    <x v="2"/>
    <n v="1"/>
    <x v="0"/>
    <x v="0"/>
    <x v="1"/>
    <n v="19"/>
    <n v="15"/>
    <n v="2.835294E-2"/>
    <n v="9.4509800000000005E-2"/>
    <n v="0.36012935099999999"/>
    <n v="1.2004311700000001"/>
    <n v="3.3333333333333335"/>
  </r>
  <r>
    <x v="2"/>
    <n v="2"/>
    <x v="0"/>
    <x v="0"/>
    <x v="1"/>
    <n v="17"/>
    <n v="14"/>
    <n v="2.2698060000000003E-2"/>
    <n v="7.5660200000000011E-2"/>
    <n v="0.29647222000000001"/>
    <n v="0.9882407333333334"/>
    <n v="3.3333333333333335"/>
  </r>
  <r>
    <x v="2"/>
    <n v="3"/>
    <x v="0"/>
    <x v="0"/>
    <x v="1"/>
    <n v="17"/>
    <n v="12"/>
    <n v="2.2698060000000003E-2"/>
    <n v="7.5660200000000011E-2"/>
    <n v="0.269595798"/>
    <n v="0.89865265999999999"/>
    <n v="3.3333333333333335"/>
  </r>
  <r>
    <x v="2"/>
    <n v="4"/>
    <x v="0"/>
    <x v="0"/>
    <x v="0"/>
    <n v="24"/>
    <n v="17"/>
    <n v="4.5239040000000001E-2"/>
    <n v="0.15079680000000001"/>
    <n v="0.56365547400000005"/>
    <n v="1.8788515800000003"/>
    <n v="3.3333333333333335"/>
  </r>
  <r>
    <x v="2"/>
    <n v="5"/>
    <x v="0"/>
    <x v="0"/>
    <x v="1"/>
    <n v="18"/>
    <n v="14"/>
    <n v="2.5446959999999998E-2"/>
    <n v="8.4823200000000001E-2"/>
    <n v="0.31925672999999999"/>
    <n v="1.0641891000000001"/>
    <n v="3.3333333333333335"/>
  </r>
  <r>
    <x v="2"/>
    <n v="6"/>
    <x v="0"/>
    <x v="0"/>
    <x v="0"/>
    <n v="27"/>
    <n v="15"/>
    <n v="5.7255660000000007E-2"/>
    <n v="0.19085220000000003"/>
    <n v="0.61680383100000002"/>
    <n v="2.0560127700000002"/>
    <n v="3.3333333333333335"/>
  </r>
  <r>
    <x v="2"/>
    <n v="7"/>
    <x v="0"/>
    <x v="0"/>
    <x v="1"/>
    <n v="16"/>
    <n v="11"/>
    <n v="2.0106240000000001E-2"/>
    <n v="6.7020800000000005E-2"/>
    <n v="0.23927845000000003"/>
    <n v="0.79759483333333347"/>
    <n v="3.3333333333333335"/>
  </r>
  <r>
    <x v="2"/>
    <n v="9"/>
    <x v="0"/>
    <x v="0"/>
    <x v="1"/>
    <n v="15"/>
    <n v="12"/>
    <n v="1.76715E-2"/>
    <n v="5.8904999999999999E-2"/>
    <n v="0.23388456600000002"/>
    <n v="0.77961522000000005"/>
    <n v="3.3333333333333335"/>
  </r>
  <r>
    <x v="2"/>
    <n v="10"/>
    <x v="0"/>
    <x v="0"/>
    <x v="1"/>
    <n v="19"/>
    <n v="10"/>
    <n v="2.835294E-2"/>
    <n v="9.4509800000000005E-2"/>
    <n v="0.27619865599999999"/>
    <n v="0.92066218666666666"/>
    <n v="3.3333333333333335"/>
  </r>
  <r>
    <x v="2"/>
    <n v="11"/>
    <x v="0"/>
    <x v="0"/>
    <x v="0"/>
    <n v="29"/>
    <n v="19"/>
    <n v="6.6052139999999995E-2"/>
    <n v="0.2201738"/>
    <n v="0.85134478700000005"/>
    <n v="2.8378159566666668"/>
    <n v="3.3333333333333335"/>
  </r>
  <r>
    <x v="2"/>
    <n v="12"/>
    <x v="0"/>
    <x v="0"/>
    <x v="0"/>
    <n v="26"/>
    <n v="16"/>
    <n v="5.3093040000000008E-2"/>
    <n v="0.17697680000000005"/>
    <n v="0.61127045000000013"/>
    <n v="2.0375681666666674"/>
    <n v="3.3333333333333335"/>
  </r>
  <r>
    <x v="2"/>
    <n v="13"/>
    <x v="0"/>
    <x v="0"/>
    <x v="1"/>
    <n v="16"/>
    <n v="14"/>
    <n v="2.0106240000000001E-2"/>
    <n v="6.7020800000000005E-2"/>
    <n v="0.27498968200000001"/>
    <n v="0.91663227333333341"/>
    <n v="3.3333333333333335"/>
  </r>
  <r>
    <x v="2"/>
    <n v="14"/>
    <x v="0"/>
    <x v="0"/>
    <x v="1"/>
    <n v="19.899999999999999"/>
    <n v="14"/>
    <n v="3.1102625399999993E-2"/>
    <n v="0.10367541799999998"/>
    <n v="0.36613423185999999"/>
    <n v="1.2204474395333333"/>
    <n v="3.3333333333333335"/>
  </r>
  <r>
    <x v="2"/>
    <n v="15"/>
    <x v="0"/>
    <x v="0"/>
    <x v="1"/>
    <n v="16"/>
    <n v="11"/>
    <n v="2.0106240000000001E-2"/>
    <n v="6.7020800000000005E-2"/>
    <n v="0.23927845000000003"/>
    <n v="0.79759483333333347"/>
    <n v="3.3333333333333335"/>
  </r>
  <r>
    <x v="2"/>
    <n v="16"/>
    <x v="0"/>
    <x v="0"/>
    <x v="0"/>
    <n v="24"/>
    <n v="13"/>
    <n v="4.5239040000000001E-2"/>
    <n v="0.15079680000000001"/>
    <n v="0.45652177799999999"/>
    <n v="1.5217392599999999"/>
    <n v="3.3333333333333335"/>
  </r>
  <r>
    <x v="2"/>
    <n v="17"/>
    <x v="0"/>
    <x v="0"/>
    <x v="1"/>
    <n v="14"/>
    <n v="13"/>
    <n v="1.5393840000000002E-2"/>
    <n v="5.1312800000000013E-2"/>
    <n v="0.22681671800000003"/>
    <n v="0.75605572666666676"/>
    <n v="3.3333333333333335"/>
  </r>
  <r>
    <x v="2"/>
    <n v="18"/>
    <x v="0"/>
    <x v="0"/>
    <x v="0"/>
    <n v="26"/>
    <n v="14"/>
    <n v="5.3093040000000008E-2"/>
    <n v="0.17697680000000005"/>
    <n v="0.54840380200000005"/>
    <n v="1.8280126733333335"/>
    <n v="3.3333333333333335"/>
  </r>
  <r>
    <x v="2"/>
    <n v="19"/>
    <x v="0"/>
    <x v="0"/>
    <x v="0"/>
    <n v="25"/>
    <n v="16"/>
    <n v="4.9087499999999999E-2"/>
    <n v="0.16362499999999999"/>
    <n v="0.57332726600000006"/>
    <n v="1.9110908866666669"/>
    <n v="3.3333333333333335"/>
  </r>
  <r>
    <x v="2"/>
    <n v="20"/>
    <x v="0"/>
    <x v="0"/>
    <x v="0"/>
    <n v="15"/>
    <n v="14"/>
    <n v="1.76715E-2"/>
    <n v="5.8904999999999999E-2"/>
    <n v="0.254809116"/>
    <n v="0.84936372000000004"/>
    <n v="3.3333333333333335"/>
  </r>
  <r>
    <x v="2"/>
    <n v="21"/>
    <x v="0"/>
    <x v="0"/>
    <x v="1"/>
    <n v="17"/>
    <n v="13"/>
    <n v="2.2698060000000003E-2"/>
    <n v="7.5660200000000011E-2"/>
    <n v="0.28303400900000003"/>
    <n v="0.94344669666666681"/>
    <n v="3.3333333333333335"/>
  </r>
  <r>
    <x v="2"/>
    <n v="22"/>
    <x v="0"/>
    <x v="0"/>
    <x v="1"/>
    <n v="13"/>
    <n v="12"/>
    <n v="1.3273260000000002E-2"/>
    <n v="4.4244200000000011E-2"/>
    <n v="0.202637238"/>
    <n v="0.67545746000000007"/>
    <n v="3.3333333333333335"/>
  </r>
  <r>
    <x v="2"/>
    <n v="23"/>
    <x v="0"/>
    <x v="0"/>
    <x v="1"/>
    <n v="19.5"/>
    <n v="16"/>
    <n v="2.9864835000000003E-2"/>
    <n v="9.9549450000000012E-2"/>
    <n v="0.39123718200000002"/>
    <n v="1.3041239400000002"/>
    <n v="3.3333333333333335"/>
  </r>
  <r>
    <x v="3"/>
    <n v="1"/>
    <x v="0"/>
    <x v="0"/>
    <x v="1"/>
    <n v="11"/>
    <n v="12"/>
    <n v="9.503339999999999E-3"/>
    <n v="3.1677799999999999E-2"/>
    <n v="0.175853814"/>
    <n v="0.58617938000000003"/>
    <n v="3.3333333333333335"/>
  </r>
  <r>
    <x v="3"/>
    <n v="2"/>
    <x v="0"/>
    <x v="0"/>
    <x v="1"/>
    <n v="12"/>
    <n v="13"/>
    <n v="1.130976E-2"/>
    <n v="3.7699200000000002E-2"/>
    <n v="0.19538339399999999"/>
    <n v="0.65127798000000003"/>
    <n v="3.3333333333333335"/>
  </r>
  <r>
    <x v="3"/>
    <n v="3"/>
    <x v="0"/>
    <x v="0"/>
    <x v="1"/>
    <n v="13"/>
    <n v="12"/>
    <n v="1.3273260000000002E-2"/>
    <n v="4.4244200000000011E-2"/>
    <n v="0.202637238"/>
    <n v="0.67545746000000007"/>
    <n v="3.3333333333333335"/>
  </r>
  <r>
    <x v="3"/>
    <n v="4"/>
    <x v="0"/>
    <x v="0"/>
    <x v="1"/>
    <n v="16"/>
    <n v="8"/>
    <n v="2.0106240000000001E-2"/>
    <n v="6.7020800000000005E-2"/>
    <n v="0.20356721799999999"/>
    <n v="0.67855739333333331"/>
    <n v="3.3333333333333335"/>
  </r>
  <r>
    <x v="3"/>
    <n v="5"/>
    <x v="2"/>
    <x v="2"/>
    <x v="1"/>
    <n v="11"/>
    <n v="10"/>
    <n v="9.503339999999999E-3"/>
    <n v="3.1677799999999999E-2"/>
    <n v="0.35120409679999998"/>
    <n v="1.1706803226666667"/>
    <n v="3.3333333333333335"/>
  </r>
  <r>
    <x v="3"/>
    <n v="6"/>
    <x v="2"/>
    <x v="2"/>
    <x v="1"/>
    <n v="18"/>
    <n v="16"/>
    <n v="2.5446959999999998E-2"/>
    <n v="8.4823200000000001E-2"/>
    <n v="1.4879747448000002"/>
    <n v="4.9599158160000014"/>
    <n v="3.3333333333333335"/>
  </r>
  <r>
    <x v="3"/>
    <n v="7"/>
    <x v="2"/>
    <x v="2"/>
    <x v="1"/>
    <n v="17"/>
    <n v="14"/>
    <n v="2.2698060000000003E-2"/>
    <n v="7.5660200000000011E-2"/>
    <n v="1.1624475688000002"/>
    <n v="3.8748252293333341"/>
    <n v="3.3333333333333335"/>
  </r>
  <r>
    <x v="3"/>
    <n v="8"/>
    <x v="2"/>
    <x v="2"/>
    <x v="0"/>
    <n v="20"/>
    <n v="15"/>
    <n v="3.1416000000000006E-2"/>
    <n v="0.10472000000000002"/>
    <n v="1.7213931768000001"/>
    <n v="5.7379772560000006"/>
    <n v="3.3333333333333335"/>
  </r>
  <r>
    <x v="3"/>
    <n v="9"/>
    <x v="0"/>
    <x v="0"/>
    <x v="1"/>
    <n v="18"/>
    <n v="13"/>
    <n v="2.5446959999999998E-2"/>
    <n v="8.4823200000000001E-2"/>
    <n v="0.30419105400000002"/>
    <n v="1.0139701800000001"/>
    <n v="3.3333333333333335"/>
  </r>
  <r>
    <x v="3"/>
    <n v="10"/>
    <x v="2"/>
    <x v="2"/>
    <x v="1"/>
    <n v="17"/>
    <n v="14"/>
    <n v="2.2698060000000003E-2"/>
    <n v="7.5660200000000011E-2"/>
    <n v="1.1624475688000002"/>
    <n v="3.8748252293333341"/>
    <n v="3.3333333333333335"/>
  </r>
  <r>
    <x v="3"/>
    <n v="11"/>
    <x v="2"/>
    <x v="2"/>
    <x v="0"/>
    <n v="28"/>
    <n v="14"/>
    <n v="6.157536000000001E-2"/>
    <n v="0.20525120000000005"/>
    <n v="3.1447879288000005"/>
    <n v="10.482626429333335"/>
    <n v="3.3333333333333335"/>
  </r>
  <r>
    <x v="3"/>
    <n v="12"/>
    <x v="0"/>
    <x v="0"/>
    <x v="1"/>
    <n v="20"/>
    <n v="10"/>
    <n v="3.1416000000000006E-2"/>
    <n v="0.10472000000000002"/>
    <n v="0.29433326600000004"/>
    <n v="0.98111088666666679"/>
    <n v="3.3333333333333335"/>
  </r>
  <r>
    <x v="4"/>
    <n v="1"/>
    <x v="1"/>
    <x v="1"/>
    <x v="1"/>
    <n v="16"/>
    <n v="10"/>
    <n v="2.0106240000000001E-2"/>
    <n v="6.7020800000000005E-2"/>
    <n v="0.22737470600000001"/>
    <n v="0.75791568666666675"/>
    <n v="3.3333333333333335"/>
  </r>
  <r>
    <x v="4"/>
    <n v="2"/>
    <x v="1"/>
    <x v="1"/>
    <x v="1"/>
    <n v="17"/>
    <n v="10"/>
    <n v="2.2698060000000003E-2"/>
    <n v="7.5660200000000011E-2"/>
    <n v="0.24271937599999999"/>
    <n v="0.8090645866666667"/>
    <n v="3.3333333333333335"/>
  </r>
  <r>
    <x v="4"/>
    <n v="3"/>
    <x v="1"/>
    <x v="1"/>
    <x v="1"/>
    <n v="17"/>
    <n v="10"/>
    <n v="2.2698060000000003E-2"/>
    <n v="7.5660200000000011E-2"/>
    <n v="0.24271937599999999"/>
    <n v="0.8090645866666667"/>
    <n v="3.3333333333333335"/>
  </r>
  <r>
    <x v="4"/>
    <n v="4"/>
    <x v="1"/>
    <x v="1"/>
    <x v="1"/>
    <n v="12"/>
    <n v="9"/>
    <n v="1.130976E-2"/>
    <n v="3.7699200000000002E-2"/>
    <n v="0.16859997000000002"/>
    <n v="0.56199990000000011"/>
    <n v="3.3333333333333335"/>
  </r>
  <r>
    <x v="4"/>
    <n v="5"/>
    <x v="1"/>
    <x v="1"/>
    <x v="0"/>
    <n v="24"/>
    <n v="13"/>
    <n v="4.5239040000000001E-2"/>
    <n v="0.15079680000000001"/>
    <n v="0.45652177799999999"/>
    <n v="1.5217392599999999"/>
    <n v="3.3333333333333335"/>
  </r>
  <r>
    <x v="4"/>
    <n v="6"/>
    <x v="1"/>
    <x v="1"/>
    <x v="0"/>
    <n v="22"/>
    <n v="13"/>
    <n v="3.8013359999999996E-2"/>
    <n v="0.1267112"/>
    <n v="0.40090897400000003"/>
    <n v="1.3363632466666668"/>
    <n v="3.3333333333333335"/>
  </r>
  <r>
    <x v="4"/>
    <n v="7"/>
    <x v="1"/>
    <x v="1"/>
    <x v="1"/>
    <n v="12"/>
    <n v="12"/>
    <n v="1.130976E-2"/>
    <n v="3.7699200000000002E-2"/>
    <n v="0.18868753799999999"/>
    <n v="0.62895846"/>
    <n v="3.3333333333333335"/>
  </r>
  <r>
    <x v="4"/>
    <n v="8"/>
    <x v="1"/>
    <x v="1"/>
    <x v="1"/>
    <n v="19.7"/>
    <n v="16"/>
    <n v="3.048058859999999E-2"/>
    <n v="0.10160196199999998"/>
    <n v="0.39707001656000002"/>
    <n v="1.3235667218666667"/>
    <n v="3.3333333333333335"/>
  </r>
  <r>
    <x v="4"/>
    <n v="9"/>
    <x v="1"/>
    <x v="1"/>
    <x v="1"/>
    <n v="14.6"/>
    <n v="12"/>
    <n v="1.6741586399999998E-2"/>
    <n v="5.5805287999999995E-2"/>
    <n v="0.22727798807999999"/>
    <n v="0.75759329360000005"/>
    <n v="3.3333333333333335"/>
  </r>
  <r>
    <x v="4"/>
    <n v="10"/>
    <x v="1"/>
    <x v="1"/>
    <x v="1"/>
    <n v="17"/>
    <n v="16"/>
    <n v="2.2698060000000003E-2"/>
    <n v="7.5660200000000011E-2"/>
    <n v="0.32334864200000002"/>
    <n v="1.0778288066666668"/>
    <n v="3.3333333333333335"/>
  </r>
  <r>
    <x v="4"/>
    <n v="11"/>
    <x v="1"/>
    <x v="1"/>
    <x v="1"/>
    <n v="14"/>
    <n v="17"/>
    <n v="1.5393840000000002E-2"/>
    <n v="5.1312800000000013E-2"/>
    <n v="0.26327193399999999"/>
    <n v="0.87757311333333332"/>
    <n v="3.3333333333333335"/>
  </r>
  <r>
    <x v="4"/>
    <n v="12"/>
    <x v="1"/>
    <x v="1"/>
    <x v="1"/>
    <n v="19.8"/>
    <n v="15"/>
    <n v="3.0790821600000001E-2"/>
    <n v="0.10263607200000001"/>
    <n v="0.3817792854"/>
    <n v="1.272597618"/>
    <n v="3.3333333333333335"/>
  </r>
  <r>
    <x v="4"/>
    <n v="13"/>
    <x v="1"/>
    <x v="1"/>
    <x v="1"/>
    <n v="19.5"/>
    <n v="15"/>
    <n v="2.9864835000000003E-2"/>
    <n v="9.9549450000000012E-2"/>
    <n v="0.37355593725000003"/>
    <n v="1.2451864575000002"/>
    <n v="3.3333333333333335"/>
  </r>
  <r>
    <x v="4"/>
    <n v="14"/>
    <x v="1"/>
    <x v="1"/>
    <x v="1"/>
    <n v="14"/>
    <n v="13"/>
    <n v="1.5393840000000002E-2"/>
    <n v="5.1312800000000013E-2"/>
    <n v="0.22681671800000003"/>
    <n v="0.75605572666666676"/>
    <n v="3.3333333333333335"/>
  </r>
  <r>
    <x v="4"/>
    <n v="15"/>
    <x v="1"/>
    <x v="1"/>
    <x v="1"/>
    <n v="15"/>
    <n v="13"/>
    <n v="1.76715E-2"/>
    <n v="5.8904999999999999E-2"/>
    <n v="0.24434684100000004"/>
    <n v="0.81448947000000016"/>
    <n v="3.3333333333333335"/>
  </r>
  <r>
    <x v="4"/>
    <n v="16"/>
    <x v="1"/>
    <x v="1"/>
    <x v="1"/>
    <n v="11"/>
    <n v="9"/>
    <n v="9.503339999999999E-3"/>
    <n v="3.1677799999999999E-2"/>
    <n v="0.15897467700000001"/>
    <n v="0.5299155900000001"/>
    <n v="3.3333333333333335"/>
  </r>
  <r>
    <x v="4"/>
    <n v="17"/>
    <x v="1"/>
    <x v="1"/>
    <x v="0"/>
    <n v="25"/>
    <n v="18"/>
    <n v="4.9087499999999999E-2"/>
    <n v="0.16362499999999999"/>
    <n v="0.63145101600000009"/>
    <n v="2.1048367200000002"/>
    <n v="3.3333333333333335"/>
  </r>
  <r>
    <x v="4"/>
    <n v="18"/>
    <x v="1"/>
    <x v="1"/>
    <x v="1"/>
    <n v="13"/>
    <n v="13"/>
    <n v="1.3273260000000002E-2"/>
    <n v="4.4244200000000011E-2"/>
    <n v="0.21049556899999999"/>
    <n v="0.70165189666666672"/>
    <n v="3.3333333333333335"/>
  </r>
  <r>
    <x v="4"/>
    <n v="19"/>
    <x v="1"/>
    <x v="1"/>
    <x v="1"/>
    <n v="15"/>
    <n v="15"/>
    <n v="1.76715E-2"/>
    <n v="5.8904999999999999E-2"/>
    <n v="0.26527139100000002"/>
    <n v="0.88423797000000015"/>
    <n v="3.3333333333333335"/>
  </r>
  <r>
    <x v="4"/>
    <n v="20"/>
    <x v="1"/>
    <x v="1"/>
    <x v="1"/>
    <n v="17"/>
    <n v="15"/>
    <n v="2.2698060000000003E-2"/>
    <n v="7.5660200000000011E-2"/>
    <n v="0.30991043100000004"/>
    <n v="1.0330347700000002"/>
    <n v="3.3333333333333335"/>
  </r>
  <r>
    <x v="4"/>
    <n v="21"/>
    <x v="1"/>
    <x v="1"/>
    <x v="1"/>
    <n v="14"/>
    <n v="12"/>
    <n v="1.5393840000000002E-2"/>
    <n v="5.1312800000000013E-2"/>
    <n v="0.21770291400000003"/>
    <n v="0.72567638000000012"/>
    <n v="3.3333333333333335"/>
  </r>
  <r>
    <x v="4"/>
    <n v="22"/>
    <x v="1"/>
    <x v="1"/>
    <x v="1"/>
    <n v="14"/>
    <n v="10"/>
    <n v="1.5393840000000002E-2"/>
    <n v="5.1312800000000013E-2"/>
    <n v="0.19947530600000002"/>
    <n v="0.66491768666666673"/>
    <n v="3.3333333333333335"/>
  </r>
  <r>
    <x v="4"/>
    <n v="23"/>
    <x v="1"/>
    <x v="1"/>
    <x v="0"/>
    <n v="23"/>
    <n v="18"/>
    <n v="4.154766E-2"/>
    <n v="0.13849220000000001"/>
    <n v="0.55110074400000009"/>
    <n v="1.8370024800000004"/>
    <n v="3.3333333333333335"/>
  </r>
  <r>
    <x v="4"/>
    <n v="24"/>
    <x v="1"/>
    <x v="1"/>
    <x v="0"/>
    <n v="24"/>
    <n v="17"/>
    <n v="4.5239040000000001E-2"/>
    <n v="0.15079680000000001"/>
    <n v="0.56365547400000005"/>
    <n v="1.8788515800000003"/>
    <n v="3.3333333333333335"/>
  </r>
  <r>
    <x v="4"/>
    <n v="25"/>
    <x v="1"/>
    <x v="1"/>
    <x v="0"/>
    <n v="22"/>
    <n v="16"/>
    <n v="3.8013359999999996E-2"/>
    <n v="0.1267112"/>
    <n v="0.46842552200000004"/>
    <n v="1.5614184066666668"/>
    <n v="3.3333333333333335"/>
  </r>
  <r>
    <x v="4"/>
    <n v="26"/>
    <x v="1"/>
    <x v="1"/>
    <x v="0"/>
    <n v="24"/>
    <n v="14"/>
    <n v="4.5239040000000001E-2"/>
    <n v="0.15079680000000001"/>
    <n v="0.48330520199999999"/>
    <n v="1.6110173400000001"/>
    <n v="3.3333333333333335"/>
  </r>
  <r>
    <x v="4"/>
    <n v="27"/>
    <x v="1"/>
    <x v="1"/>
    <x v="0"/>
    <n v="26"/>
    <n v="17"/>
    <n v="5.3093040000000008E-2"/>
    <n v="0.17697680000000005"/>
    <n v="0.64270377400000012"/>
    <n v="2.142345913333334"/>
    <n v="3.3333333333333335"/>
  </r>
  <r>
    <x v="4"/>
    <n v="28"/>
    <x v="1"/>
    <x v="1"/>
    <x v="1"/>
    <n v="14"/>
    <n v="11"/>
    <n v="1.5393840000000002E-2"/>
    <n v="5.1312800000000013E-2"/>
    <n v="0.20858911000000002"/>
    <n v="0.69529703333333348"/>
    <n v="3.3333333333333335"/>
  </r>
  <r>
    <x v="5"/>
    <n v="1"/>
    <x v="2"/>
    <x v="2"/>
    <x v="0"/>
    <n v="22.3"/>
    <n v="12"/>
    <n v="3.9057156600000004E-2"/>
    <n v="0.13019052200000003"/>
    <n v="1.7120907657600004"/>
    <n v="5.7069692192000012"/>
    <n v="3.3333333333333335"/>
  </r>
  <r>
    <x v="5"/>
    <n v="2"/>
    <x v="1"/>
    <x v="1"/>
    <x v="1"/>
    <n v="15"/>
    <n v="9"/>
    <n v="1.76715E-2"/>
    <n v="5.8904999999999999E-2"/>
    <n v="0.20249774100000001"/>
    <n v="0.67499247000000007"/>
    <n v="3.3333333333333335"/>
  </r>
  <r>
    <x v="5"/>
    <n v="3"/>
    <x v="3"/>
    <x v="3"/>
    <x v="1"/>
    <n v="14"/>
    <n v="10"/>
    <n v="1.5393840000000002E-2"/>
    <n v="5.1312800000000013E-2"/>
    <n v="7.0135456200000001E-2"/>
    <n v="0.23378485400000001"/>
    <n v="3.3333333333333335"/>
  </r>
  <r>
    <x v="5"/>
    <n v="4"/>
    <x v="3"/>
    <x v="3"/>
    <x v="1"/>
    <n v="10"/>
    <n v="8"/>
    <n v="7.8540000000000016E-3"/>
    <n v="2.6180000000000005E-2"/>
    <n v="3.6595912199999997E-2"/>
    <n v="0.12198637399999999"/>
    <n v="3.3333333333333335"/>
  </r>
  <r>
    <x v="5"/>
    <n v="5"/>
    <x v="1"/>
    <x v="1"/>
    <x v="1"/>
    <n v="10.5"/>
    <n v="9"/>
    <n v="8.659034999999999E-3"/>
    <n v="2.8863449999999999E-2"/>
    <n v="0.15447589875000001"/>
    <n v="0.5149196625000001"/>
    <n v="3.3333333333333335"/>
  </r>
  <r>
    <x v="5"/>
    <n v="6"/>
    <x v="2"/>
    <x v="2"/>
    <x v="1"/>
    <n v="17"/>
    <n v="13"/>
    <n v="2.2698060000000003E-2"/>
    <n v="7.5660200000000011E-2"/>
    <n v="1.0797785408000002"/>
    <n v="3.5992618026666676"/>
    <n v="3.3333333333333335"/>
  </r>
  <r>
    <x v="5"/>
    <n v="7"/>
    <x v="0"/>
    <x v="0"/>
    <x v="1"/>
    <n v="17.5"/>
    <n v="9"/>
    <n v="2.4052874999999998E-2"/>
    <n v="8.0176249999999991E-2"/>
    <n v="0.23650013475000004"/>
    <n v="0.78833378250000019"/>
    <n v="3.3333333333333335"/>
  </r>
  <r>
    <x v="5"/>
    <n v="8"/>
    <x v="2"/>
    <x v="2"/>
    <x v="0"/>
    <n v="20.3"/>
    <n v="15"/>
    <n v="3.2365548600000002E-2"/>
    <n v="0.10788516200000001"/>
    <n v="1.7732687070000004"/>
    <n v="5.9108956900000011"/>
    <n v="3.3333333333333335"/>
  </r>
  <r>
    <x v="5"/>
    <n v="9"/>
    <x v="2"/>
    <x v="2"/>
    <x v="1"/>
    <n v="12"/>
    <n v="9"/>
    <n v="1.130976E-2"/>
    <n v="3.7699200000000002E-2"/>
    <n v="0.37580456880000002"/>
    <n v="1.2526818960000001"/>
    <n v="3.3333333333333335"/>
  </r>
  <r>
    <x v="5"/>
    <n v="10"/>
    <x v="1"/>
    <x v="1"/>
    <x v="1"/>
    <n v="11"/>
    <n v="8"/>
    <n v="9.503339999999999E-3"/>
    <n v="3.1677799999999999E-2"/>
    <n v="0.15334829799999999"/>
    <n v="0.51116099333333331"/>
    <n v="3.3333333333333335"/>
  </r>
  <r>
    <x v="5"/>
    <n v="11"/>
    <x v="1"/>
    <x v="1"/>
    <x v="1"/>
    <n v="12.2"/>
    <n v="9"/>
    <n v="1.1689893599999999E-2"/>
    <n v="3.8966311999999996E-2"/>
    <n v="0.17062546643999998"/>
    <n v="0.56875155479999995"/>
    <n v="3.3333333333333335"/>
  </r>
  <r>
    <x v="5"/>
    <n v="12"/>
    <x v="1"/>
    <x v="1"/>
    <x v="1"/>
    <n v="14"/>
    <n v="8"/>
    <n v="1.5393840000000002E-2"/>
    <n v="5.1312800000000013E-2"/>
    <n v="0.18124769800000001"/>
    <n v="0.60415899333333345"/>
    <n v="3.3333333333333335"/>
  </r>
  <r>
    <x v="5"/>
    <n v="13"/>
    <x v="0"/>
    <x v="0"/>
    <x v="1"/>
    <n v="12"/>
    <n v="8"/>
    <n v="1.130976E-2"/>
    <n v="3.7699200000000002E-2"/>
    <n v="0.16190411399999999"/>
    <n v="0.53968037999999996"/>
    <n v="3.3333333333333335"/>
  </r>
  <r>
    <x v="5"/>
    <n v="14"/>
    <x v="0"/>
    <x v="0"/>
    <x v="1"/>
    <n v="13"/>
    <n v="7"/>
    <n v="1.3273260000000002E-2"/>
    <n v="4.4244200000000011E-2"/>
    <n v="0.16334558300000002"/>
    <n v="0.5444852766666668"/>
    <n v="3.3333333333333335"/>
  </r>
  <r>
    <x v="5"/>
    <n v="15"/>
    <x v="2"/>
    <x v="2"/>
    <x v="0"/>
    <n v="20.5"/>
    <n v="14"/>
    <n v="3.3006434999999994E-2"/>
    <n v="0.11002144999999998"/>
    <n v="1.6880681188000002"/>
    <n v="5.6268937293333341"/>
    <n v="3.3333333333333335"/>
  </r>
  <r>
    <x v="5"/>
    <n v="16"/>
    <x v="2"/>
    <x v="2"/>
    <x v="0"/>
    <n v="21"/>
    <n v="14"/>
    <n v="3.4636139999999996E-2"/>
    <n v="0.1154538"/>
    <n v="1.7711662248000002"/>
    <n v="5.9038874160000008"/>
    <n v="3.3333333333333335"/>
  </r>
  <r>
    <x v="5"/>
    <n v="17"/>
    <x v="2"/>
    <x v="2"/>
    <x v="1"/>
    <n v="14"/>
    <n v="15"/>
    <n v="1.5393840000000002E-2"/>
    <n v="5.1312800000000013E-2"/>
    <n v="0.84607405680000003"/>
    <n v="2.8202468560000002"/>
    <n v="3.3333333333333335"/>
  </r>
  <r>
    <x v="5"/>
    <n v="18"/>
    <x v="2"/>
    <x v="2"/>
    <x v="0"/>
    <n v="20"/>
    <n v="16"/>
    <n v="3.1416000000000006E-2"/>
    <n v="0.10472000000000002"/>
    <n v="1.8358139768000001"/>
    <n v="6.119379922666667"/>
    <n v="3.3333333333333335"/>
  </r>
  <r>
    <x v="5"/>
    <n v="19"/>
    <x v="1"/>
    <x v="1"/>
    <x v="1"/>
    <n v="10"/>
    <n v="7"/>
    <n v="7.8540000000000016E-3"/>
    <n v="2.6180000000000005E-2"/>
    <n v="0.14088656599999999"/>
    <n v="0.46962188666666665"/>
    <n v="3.333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2" firstHeaderRow="1" firstDataRow="1" firstDataCol="1"/>
  <pivotFields count="12">
    <pivotField showAll="0"/>
    <pivotField dataField="1" showAll="0"/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</pivotFields>
  <rowFields count="2">
    <field x="3"/>
    <field x="2"/>
  </rowFields>
  <rowItems count="9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 t="grand">
      <x/>
    </i>
  </rowItems>
  <colItems count="1">
    <i/>
  </colItems>
  <dataFields count="1">
    <dataField name="Cuenta de No. Arbo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2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F9" firstHeaderRow="1" firstDataRow="2" firstDataCol="1"/>
  <pivotFields count="12"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">
    <format dxfId="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3" cacheId="2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No. De Parcela">
  <location ref="A3:F11" firstHeaderRow="1" firstDataRow="2" firstDataCol="1"/>
  <pivotFields count="1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1">
    <format dxfId="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35">
      <pivotArea outline="0" collapsedLevelsAreSubtotals="1" fieldPosition="0"/>
    </format>
    <format dxfId="34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0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4" cacheId="2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Especie y Clase Diametrica">
  <location ref="A3:F18" firstHeaderRow="1" firstDataRow="2" firstDataCol="1"/>
  <pivotFields count="12"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5">
        <item x="1"/>
        <item x="0"/>
        <item x="2"/>
        <item m="1" x="3"/>
        <item t="default"/>
      </items>
    </pivotField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2">
    <field x="3"/>
    <field x="4"/>
  </rowFields>
  <rowItems count="14">
    <i>
      <x/>
    </i>
    <i r="1">
      <x/>
    </i>
    <i r="1">
      <x v="1"/>
    </i>
    <i>
      <x v="1"/>
    </i>
    <i r="1">
      <x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17"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14">
      <pivotArea field="3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outline="0" collapsedLevelsAreSubtotals="1" fieldPosition="0"/>
    </format>
    <format dxfId="0">
      <pivotArea field="3" grandRow="1" outline="0" collapsedLevelsAreSubtotals="1" axis="axisRow" fieldPosition="0">
        <references count="1">
          <reference field="4294967294" count="2" selected="0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zoomScaleNormal="100" workbookViewId="0">
      <selection activeCell="O3" sqref="O3"/>
    </sheetView>
  </sheetViews>
  <sheetFormatPr baseColWidth="10" defaultColWidth="11.42578125" defaultRowHeight="15" x14ac:dyDescent="0.25"/>
  <cols>
    <col min="1" max="1" width="9.140625" customWidth="1"/>
    <col min="2" max="2" width="9.5703125" customWidth="1"/>
    <col min="3" max="3" width="13" customWidth="1"/>
    <col min="4" max="4" width="24.140625" customWidth="1"/>
  </cols>
  <sheetData>
    <row r="1" spans="1:15" ht="24" x14ac:dyDescent="0.2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55" t="s">
        <v>56</v>
      </c>
      <c r="N1" s="56"/>
      <c r="O1" s="56"/>
    </row>
    <row r="2" spans="1:15" x14ac:dyDescent="0.25">
      <c r="A2" s="51">
        <v>1</v>
      </c>
      <c r="B2" s="51">
        <v>1</v>
      </c>
      <c r="C2" s="51" t="s">
        <v>64</v>
      </c>
      <c r="D2" s="51" t="s">
        <v>65</v>
      </c>
      <c r="E2" s="51" t="s">
        <v>53</v>
      </c>
      <c r="F2" s="51">
        <v>21</v>
      </c>
      <c r="G2" s="51">
        <v>14</v>
      </c>
      <c r="H2" s="74">
        <f t="shared" ref="H2:H33" si="0">0.7854*(F2/100)^2</f>
        <v>3.4636139999999996E-2</v>
      </c>
      <c r="I2" s="75">
        <f>H2*1/0.3</f>
        <v>0.1154538</v>
      </c>
      <c r="J2" s="74">
        <f>(0.108337266+0.000046499*(F2^2*G2))</f>
        <v>0.395422092</v>
      </c>
      <c r="K2" s="75">
        <f>J2/0.3</f>
        <v>1.3180736400000002</v>
      </c>
      <c r="L2" s="75">
        <f>1*1/0.3</f>
        <v>3.3333333333333335</v>
      </c>
      <c r="M2" s="56"/>
      <c r="N2" s="57" t="s">
        <v>58</v>
      </c>
      <c r="O2" s="57" t="s">
        <v>57</v>
      </c>
    </row>
    <row r="3" spans="1:15" x14ac:dyDescent="0.25">
      <c r="A3" s="51">
        <v>1</v>
      </c>
      <c r="B3" s="51">
        <v>2</v>
      </c>
      <c r="C3" s="51" t="s">
        <v>64</v>
      </c>
      <c r="D3" s="51" t="s">
        <v>65</v>
      </c>
      <c r="E3" s="51" t="s">
        <v>52</v>
      </c>
      <c r="F3" s="51">
        <v>11</v>
      </c>
      <c r="G3" s="51">
        <v>10</v>
      </c>
      <c r="H3" s="74">
        <f t="shared" si="0"/>
        <v>9.503339999999999E-3</v>
      </c>
      <c r="I3" s="75">
        <f>H3*1/0.3</f>
        <v>3.1677799999999999E-2</v>
      </c>
      <c r="J3" s="74">
        <f>(0.108337266+0.000046499*(F3^2*G3))</f>
        <v>0.164601056</v>
      </c>
      <c r="K3" s="75">
        <f t="shared" ref="K3:K66" si="1">J3/0.3</f>
        <v>0.54867018666666667</v>
      </c>
      <c r="L3" s="75">
        <f t="shared" ref="L3:L66" si="2">1*1/0.3</f>
        <v>3.3333333333333335</v>
      </c>
      <c r="M3" s="56"/>
      <c r="N3" s="58">
        <v>3000</v>
      </c>
      <c r="O3" s="59">
        <f>N3/10000</f>
        <v>0.3</v>
      </c>
    </row>
    <row r="4" spans="1:15" x14ac:dyDescent="0.25">
      <c r="A4" s="51">
        <v>1</v>
      </c>
      <c r="B4" s="51">
        <v>3</v>
      </c>
      <c r="C4" s="51" t="s">
        <v>54</v>
      </c>
      <c r="D4" s="51" t="s">
        <v>55</v>
      </c>
      <c r="E4" s="51" t="s">
        <v>52</v>
      </c>
      <c r="F4" s="51">
        <v>14</v>
      </c>
      <c r="G4" s="51">
        <v>9</v>
      </c>
      <c r="H4" s="74">
        <f t="shared" si="0"/>
        <v>1.5393840000000002E-2</v>
      </c>
      <c r="I4" s="75">
        <f t="shared" ref="I4:I67" si="3">H4*1/0.3</f>
        <v>5.1312800000000013E-2</v>
      </c>
      <c r="J4" s="74">
        <f>(0.108337266+0.000046499*(F4^2*G4))</f>
        <v>0.19036150200000002</v>
      </c>
      <c r="K4" s="75">
        <f t="shared" si="1"/>
        <v>0.63453834000000009</v>
      </c>
      <c r="L4" s="75">
        <f t="shared" si="2"/>
        <v>3.3333333333333335</v>
      </c>
      <c r="M4" s="56"/>
      <c r="N4" s="56"/>
      <c r="O4" s="56"/>
    </row>
    <row r="5" spans="1:15" x14ac:dyDescent="0.25">
      <c r="A5" s="51">
        <v>1</v>
      </c>
      <c r="B5" s="51">
        <v>4</v>
      </c>
      <c r="C5" s="51" t="s">
        <v>64</v>
      </c>
      <c r="D5" s="51" t="s">
        <v>65</v>
      </c>
      <c r="E5" s="51" t="s">
        <v>52</v>
      </c>
      <c r="F5" s="51">
        <v>13</v>
      </c>
      <c r="G5" s="51">
        <v>12</v>
      </c>
      <c r="H5" s="74">
        <f t="shared" si="0"/>
        <v>1.3273260000000002E-2</v>
      </c>
      <c r="I5" s="75">
        <f t="shared" si="3"/>
        <v>4.4244200000000011E-2</v>
      </c>
      <c r="J5" s="74">
        <f t="shared" ref="J5:J9" si="4">(0.108337266+0.000046499*(F5^2*G5))</f>
        <v>0.202637238</v>
      </c>
      <c r="K5" s="75">
        <f t="shared" si="1"/>
        <v>0.67545746000000007</v>
      </c>
      <c r="L5" s="75">
        <f t="shared" si="2"/>
        <v>3.3333333333333335</v>
      </c>
      <c r="M5" s="56"/>
      <c r="N5" s="56"/>
      <c r="O5" s="56"/>
    </row>
    <row r="6" spans="1:15" x14ac:dyDescent="0.25">
      <c r="A6" s="51">
        <v>1</v>
      </c>
      <c r="B6" s="51">
        <v>5</v>
      </c>
      <c r="C6" s="51" t="s">
        <v>64</v>
      </c>
      <c r="D6" s="51" t="s">
        <v>65</v>
      </c>
      <c r="E6" s="51" t="s">
        <v>52</v>
      </c>
      <c r="F6" s="51">
        <v>13</v>
      </c>
      <c r="G6" s="51">
        <v>10</v>
      </c>
      <c r="H6" s="74">
        <f t="shared" si="0"/>
        <v>1.3273260000000002E-2</v>
      </c>
      <c r="I6" s="75">
        <f t="shared" si="3"/>
        <v>4.4244200000000011E-2</v>
      </c>
      <c r="J6" s="74">
        <f t="shared" si="4"/>
        <v>0.186920576</v>
      </c>
      <c r="K6" s="75">
        <f t="shared" si="1"/>
        <v>0.62306858666666676</v>
      </c>
      <c r="L6" s="75">
        <f t="shared" si="2"/>
        <v>3.3333333333333335</v>
      </c>
      <c r="M6" s="56"/>
      <c r="N6" s="56"/>
      <c r="O6" s="56"/>
    </row>
    <row r="7" spans="1:15" x14ac:dyDescent="0.25">
      <c r="A7" s="51">
        <v>1</v>
      </c>
      <c r="B7" s="51">
        <v>6</v>
      </c>
      <c r="C7" s="51" t="s">
        <v>64</v>
      </c>
      <c r="D7" s="51" t="s">
        <v>65</v>
      </c>
      <c r="E7" s="51" t="s">
        <v>52</v>
      </c>
      <c r="F7" s="51">
        <v>15</v>
      </c>
      <c r="G7" s="51">
        <v>10</v>
      </c>
      <c r="H7" s="74">
        <f t="shared" si="0"/>
        <v>1.76715E-2</v>
      </c>
      <c r="I7" s="75">
        <f t="shared" si="3"/>
        <v>5.8904999999999999E-2</v>
      </c>
      <c r="J7" s="74">
        <f t="shared" si="4"/>
        <v>0.212960016</v>
      </c>
      <c r="K7" s="75">
        <f t="shared" si="1"/>
        <v>0.70986672000000006</v>
      </c>
      <c r="L7" s="75">
        <f t="shared" si="2"/>
        <v>3.3333333333333335</v>
      </c>
      <c r="M7" s="56"/>
      <c r="N7" s="56"/>
      <c r="O7" s="56"/>
    </row>
    <row r="8" spans="1:15" x14ac:dyDescent="0.25">
      <c r="A8" s="51">
        <v>1</v>
      </c>
      <c r="B8" s="51">
        <v>7</v>
      </c>
      <c r="C8" s="51" t="s">
        <v>64</v>
      </c>
      <c r="D8" s="51" t="s">
        <v>65</v>
      </c>
      <c r="E8" s="51" t="s">
        <v>52</v>
      </c>
      <c r="F8" s="51">
        <v>12</v>
      </c>
      <c r="G8" s="51">
        <v>8</v>
      </c>
      <c r="H8" s="74">
        <f t="shared" si="0"/>
        <v>1.130976E-2</v>
      </c>
      <c r="I8" s="75">
        <f t="shared" si="3"/>
        <v>3.7699200000000002E-2</v>
      </c>
      <c r="J8" s="74">
        <f t="shared" si="4"/>
        <v>0.16190411399999999</v>
      </c>
      <c r="K8" s="75">
        <f t="shared" si="1"/>
        <v>0.53968037999999996</v>
      </c>
      <c r="L8" s="75">
        <f t="shared" si="2"/>
        <v>3.3333333333333335</v>
      </c>
      <c r="M8" s="56"/>
      <c r="N8" s="56"/>
      <c r="O8" s="56"/>
    </row>
    <row r="9" spans="1:15" x14ac:dyDescent="0.25">
      <c r="A9" s="51">
        <v>1</v>
      </c>
      <c r="B9" s="51">
        <v>8</v>
      </c>
      <c r="C9" s="51" t="s">
        <v>64</v>
      </c>
      <c r="D9" s="51" t="s">
        <v>65</v>
      </c>
      <c r="E9" s="51" t="s">
        <v>52</v>
      </c>
      <c r="F9" s="51">
        <v>15</v>
      </c>
      <c r="G9" s="51">
        <v>10</v>
      </c>
      <c r="H9" s="74">
        <f t="shared" si="0"/>
        <v>1.76715E-2</v>
      </c>
      <c r="I9" s="75">
        <f t="shared" si="3"/>
        <v>5.8904999999999999E-2</v>
      </c>
      <c r="J9" s="74">
        <f t="shared" si="4"/>
        <v>0.212960016</v>
      </c>
      <c r="K9" s="75">
        <f t="shared" si="1"/>
        <v>0.70986672000000006</v>
      </c>
      <c r="L9" s="75">
        <f t="shared" si="2"/>
        <v>3.3333333333333335</v>
      </c>
      <c r="M9" s="56"/>
      <c r="N9" s="56"/>
      <c r="O9" s="56"/>
    </row>
    <row r="10" spans="1:15" x14ac:dyDescent="0.25">
      <c r="A10" s="51">
        <v>1</v>
      </c>
      <c r="B10" s="51">
        <v>9</v>
      </c>
      <c r="C10" s="51" t="s">
        <v>54</v>
      </c>
      <c r="D10" s="51" t="s">
        <v>55</v>
      </c>
      <c r="E10" s="51" t="s">
        <v>52</v>
      </c>
      <c r="F10" s="51">
        <v>15</v>
      </c>
      <c r="G10" s="51">
        <v>10</v>
      </c>
      <c r="H10" s="74">
        <f t="shared" si="0"/>
        <v>1.76715E-2</v>
      </c>
      <c r="I10" s="75">
        <f t="shared" si="3"/>
        <v>5.8904999999999999E-2</v>
      </c>
      <c r="J10" s="74">
        <f>(0.108337266+0.000046499*(F10^2*G10))</f>
        <v>0.212960016</v>
      </c>
      <c r="K10" s="75">
        <f t="shared" si="1"/>
        <v>0.70986672000000006</v>
      </c>
      <c r="L10" s="75">
        <f t="shared" si="2"/>
        <v>3.3333333333333335</v>
      </c>
      <c r="M10" s="56"/>
      <c r="N10" s="56"/>
      <c r="O10" s="56"/>
    </row>
    <row r="11" spans="1:15" x14ac:dyDescent="0.25">
      <c r="A11" s="51">
        <v>1</v>
      </c>
      <c r="B11" s="51">
        <v>11</v>
      </c>
      <c r="C11" s="51" t="s">
        <v>63</v>
      </c>
      <c r="D11" s="51" t="s">
        <v>61</v>
      </c>
      <c r="E11" s="51" t="s">
        <v>52</v>
      </c>
      <c r="F11" s="51">
        <v>18</v>
      </c>
      <c r="G11" s="51">
        <v>15</v>
      </c>
      <c r="H11" s="74">
        <f t="shared" si="0"/>
        <v>2.5446959999999998E-2</v>
      </c>
      <c r="I11" s="75">
        <f t="shared" si="3"/>
        <v>8.4823200000000001E-2</v>
      </c>
      <c r="J11" s="74">
        <f>(0.0050811768+0.000286052*(F11^2*G11))</f>
        <v>1.3952938968000002</v>
      </c>
      <c r="K11" s="75">
        <f t="shared" si="1"/>
        <v>4.6509796560000005</v>
      </c>
      <c r="L11" s="75">
        <f t="shared" si="2"/>
        <v>3.3333333333333335</v>
      </c>
      <c r="M11" s="56"/>
      <c r="N11" s="56"/>
      <c r="O11" s="56"/>
    </row>
    <row r="12" spans="1:15" x14ac:dyDescent="0.25">
      <c r="A12" s="51">
        <v>1</v>
      </c>
      <c r="B12" s="51">
        <v>12</v>
      </c>
      <c r="C12" s="51" t="s">
        <v>64</v>
      </c>
      <c r="D12" s="51" t="s">
        <v>65</v>
      </c>
      <c r="E12" s="51" t="s">
        <v>52</v>
      </c>
      <c r="F12" s="51">
        <v>11</v>
      </c>
      <c r="G12" s="51">
        <v>10</v>
      </c>
      <c r="H12" s="74">
        <f t="shared" si="0"/>
        <v>9.503339999999999E-3</v>
      </c>
      <c r="I12" s="75">
        <f t="shared" si="3"/>
        <v>3.1677799999999999E-2</v>
      </c>
      <c r="J12" s="74">
        <f t="shared" ref="J12:J13" si="5">(0.108337266+0.000046499*(F12^2*G12))</f>
        <v>0.164601056</v>
      </c>
      <c r="K12" s="75">
        <f t="shared" si="1"/>
        <v>0.54867018666666667</v>
      </c>
      <c r="L12" s="75">
        <f t="shared" si="2"/>
        <v>3.3333333333333335</v>
      </c>
      <c r="M12" s="56"/>
      <c r="N12" s="56"/>
      <c r="O12" s="56"/>
    </row>
    <row r="13" spans="1:15" x14ac:dyDescent="0.25">
      <c r="A13" s="51">
        <v>1</v>
      </c>
      <c r="B13" s="51">
        <v>13</v>
      </c>
      <c r="C13" s="51" t="s">
        <v>64</v>
      </c>
      <c r="D13" s="51" t="s">
        <v>65</v>
      </c>
      <c r="E13" s="51" t="s">
        <v>52</v>
      </c>
      <c r="F13" s="51">
        <v>10</v>
      </c>
      <c r="G13" s="51">
        <v>9</v>
      </c>
      <c r="H13" s="74">
        <f t="shared" si="0"/>
        <v>7.8540000000000016E-3</v>
      </c>
      <c r="I13" s="75">
        <f t="shared" si="3"/>
        <v>2.6180000000000005E-2</v>
      </c>
      <c r="J13" s="74">
        <f t="shared" si="5"/>
        <v>0.15018636600000002</v>
      </c>
      <c r="K13" s="75">
        <f t="shared" si="1"/>
        <v>0.50062122000000009</v>
      </c>
      <c r="L13" s="75">
        <f t="shared" si="2"/>
        <v>3.3333333333333335</v>
      </c>
      <c r="M13" s="56"/>
      <c r="N13" s="56"/>
      <c r="O13" s="56"/>
    </row>
    <row r="14" spans="1:15" x14ac:dyDescent="0.25">
      <c r="A14" s="51">
        <v>1</v>
      </c>
      <c r="B14" s="51">
        <v>14</v>
      </c>
      <c r="C14" s="51" t="s">
        <v>63</v>
      </c>
      <c r="D14" s="51" t="s">
        <v>61</v>
      </c>
      <c r="E14" s="51" t="s">
        <v>62</v>
      </c>
      <c r="F14" s="51">
        <v>39</v>
      </c>
      <c r="G14" s="51">
        <v>18</v>
      </c>
      <c r="H14" s="74">
        <f t="shared" si="0"/>
        <v>0.11945934000000001</v>
      </c>
      <c r="I14" s="75">
        <f t="shared" si="3"/>
        <v>0.39819780000000005</v>
      </c>
      <c r="J14" s="74">
        <f t="shared" ref="J14:J15" si="6">(0.0050811768+0.000286052*(F14^2*G14))</f>
        <v>7.8366128328000002</v>
      </c>
      <c r="K14" s="75">
        <f t="shared" si="1"/>
        <v>26.122042776000001</v>
      </c>
      <c r="L14" s="75">
        <f t="shared" si="2"/>
        <v>3.3333333333333335</v>
      </c>
      <c r="M14" s="56"/>
      <c r="N14" s="56"/>
      <c r="O14" s="56"/>
    </row>
    <row r="15" spans="1:15" x14ac:dyDescent="0.25">
      <c r="A15" s="51">
        <v>1</v>
      </c>
      <c r="B15" s="51">
        <v>15</v>
      </c>
      <c r="C15" s="51" t="s">
        <v>63</v>
      </c>
      <c r="D15" s="51" t="s">
        <v>61</v>
      </c>
      <c r="E15" s="51" t="s">
        <v>52</v>
      </c>
      <c r="F15" s="51">
        <v>14</v>
      </c>
      <c r="G15" s="51">
        <v>11</v>
      </c>
      <c r="H15" s="74">
        <f t="shared" si="0"/>
        <v>1.5393840000000002E-2</v>
      </c>
      <c r="I15" s="75">
        <f t="shared" si="3"/>
        <v>5.1312800000000013E-2</v>
      </c>
      <c r="J15" s="74">
        <f t="shared" si="6"/>
        <v>0.62180928879999997</v>
      </c>
      <c r="K15" s="75">
        <f t="shared" si="1"/>
        <v>2.0726976293333332</v>
      </c>
      <c r="L15" s="75">
        <f t="shared" si="2"/>
        <v>3.3333333333333335</v>
      </c>
      <c r="M15" s="56"/>
      <c r="N15" s="56"/>
      <c r="O15" s="56"/>
    </row>
    <row r="16" spans="1:15" x14ac:dyDescent="0.25">
      <c r="A16" s="51">
        <v>1</v>
      </c>
      <c r="B16" s="51">
        <v>16</v>
      </c>
      <c r="C16" s="51" t="s">
        <v>64</v>
      </c>
      <c r="D16" s="51" t="s">
        <v>65</v>
      </c>
      <c r="E16" s="51" t="s">
        <v>52</v>
      </c>
      <c r="F16" s="51">
        <v>19</v>
      </c>
      <c r="G16" s="51">
        <v>14</v>
      </c>
      <c r="H16" s="74">
        <f t="shared" si="0"/>
        <v>2.835294E-2</v>
      </c>
      <c r="I16" s="75">
        <f t="shared" si="3"/>
        <v>9.4509800000000005E-2</v>
      </c>
      <c r="J16" s="74">
        <f t="shared" ref="J16" si="7">(0.108337266+0.000046499*(F16^2*G16))</f>
        <v>0.34334321200000001</v>
      </c>
      <c r="K16" s="75">
        <f t="shared" si="1"/>
        <v>1.1444773733333333</v>
      </c>
      <c r="L16" s="75">
        <f t="shared" si="2"/>
        <v>3.3333333333333335</v>
      </c>
      <c r="M16" s="56"/>
      <c r="N16" s="56"/>
      <c r="O16" s="56"/>
    </row>
    <row r="17" spans="1:15" x14ac:dyDescent="0.25">
      <c r="A17" s="51">
        <v>2</v>
      </c>
      <c r="B17" s="51">
        <v>1</v>
      </c>
      <c r="C17" s="51" t="s">
        <v>63</v>
      </c>
      <c r="D17" s="51" t="s">
        <v>61</v>
      </c>
      <c r="E17" s="51" t="s">
        <v>62</v>
      </c>
      <c r="F17" s="51">
        <v>38.200000000000003</v>
      </c>
      <c r="G17" s="51">
        <v>19</v>
      </c>
      <c r="H17" s="74">
        <f t="shared" si="0"/>
        <v>0.1146087096</v>
      </c>
      <c r="I17" s="75">
        <f t="shared" si="3"/>
        <v>0.38202903199999999</v>
      </c>
      <c r="J17" s="74">
        <f>(0.0050811768+0.000286052*(F17^2*G17))</f>
        <v>7.936033065920002</v>
      </c>
      <c r="K17" s="75">
        <f t="shared" si="1"/>
        <v>26.453443553066673</v>
      </c>
      <c r="L17" s="75">
        <f t="shared" si="2"/>
        <v>3.3333333333333335</v>
      </c>
      <c r="M17" s="56"/>
      <c r="N17" s="56"/>
      <c r="O17" s="56"/>
    </row>
    <row r="18" spans="1:15" x14ac:dyDescent="0.25">
      <c r="A18" s="51">
        <v>2</v>
      </c>
      <c r="B18" s="51">
        <v>2</v>
      </c>
      <c r="C18" s="51" t="s">
        <v>64</v>
      </c>
      <c r="D18" s="51" t="s">
        <v>65</v>
      </c>
      <c r="E18" s="51" t="s">
        <v>53</v>
      </c>
      <c r="F18" s="51">
        <v>20</v>
      </c>
      <c r="G18" s="51">
        <v>9</v>
      </c>
      <c r="H18" s="74">
        <f t="shared" si="0"/>
        <v>3.1416000000000006E-2</v>
      </c>
      <c r="I18" s="75">
        <f t="shared" si="3"/>
        <v>0.10472000000000002</v>
      </c>
      <c r="J18" s="74">
        <f t="shared" ref="J18:J49" si="8">(0.108337266+0.000046499*(F18^2*G18))</f>
        <v>0.27573366599999999</v>
      </c>
      <c r="K18" s="75">
        <f t="shared" si="1"/>
        <v>0.91911222000000004</v>
      </c>
      <c r="L18" s="75">
        <f t="shared" si="2"/>
        <v>3.3333333333333335</v>
      </c>
      <c r="M18" s="56"/>
      <c r="N18" s="56"/>
      <c r="O18" s="56"/>
    </row>
    <row r="19" spans="1:15" x14ac:dyDescent="0.25">
      <c r="A19" s="51">
        <v>2</v>
      </c>
      <c r="B19" s="51">
        <v>3</v>
      </c>
      <c r="C19" s="51" t="s">
        <v>64</v>
      </c>
      <c r="D19" s="51" t="s">
        <v>65</v>
      </c>
      <c r="E19" s="51" t="s">
        <v>52</v>
      </c>
      <c r="F19" s="51">
        <v>16</v>
      </c>
      <c r="G19" s="51">
        <v>9</v>
      </c>
      <c r="H19" s="74">
        <f t="shared" si="0"/>
        <v>2.0106240000000001E-2</v>
      </c>
      <c r="I19" s="75">
        <f t="shared" si="3"/>
        <v>6.7020800000000005E-2</v>
      </c>
      <c r="J19" s="74">
        <f t="shared" si="8"/>
        <v>0.21547096199999999</v>
      </c>
      <c r="K19" s="75">
        <f t="shared" si="1"/>
        <v>0.71823654000000003</v>
      </c>
      <c r="L19" s="75">
        <f t="shared" si="2"/>
        <v>3.3333333333333335</v>
      </c>
      <c r="M19" s="56"/>
      <c r="N19" s="56"/>
      <c r="O19" s="56"/>
    </row>
    <row r="20" spans="1:15" x14ac:dyDescent="0.25">
      <c r="A20" s="51">
        <v>2</v>
      </c>
      <c r="B20" s="51">
        <v>4</v>
      </c>
      <c r="C20" s="51" t="s">
        <v>64</v>
      </c>
      <c r="D20" s="51" t="s">
        <v>65</v>
      </c>
      <c r="E20" s="51" t="s">
        <v>53</v>
      </c>
      <c r="F20" s="51">
        <v>23.2</v>
      </c>
      <c r="G20" s="51">
        <v>12</v>
      </c>
      <c r="H20" s="74">
        <f t="shared" si="0"/>
        <v>4.2273369599999992E-2</v>
      </c>
      <c r="I20" s="75">
        <f t="shared" si="3"/>
        <v>0.14091123199999997</v>
      </c>
      <c r="J20" s="74">
        <f t="shared" si="8"/>
        <v>0.40866872712000002</v>
      </c>
      <c r="K20" s="75">
        <f t="shared" si="1"/>
        <v>1.3622290904000001</v>
      </c>
      <c r="L20" s="75">
        <f t="shared" si="2"/>
        <v>3.3333333333333335</v>
      </c>
      <c r="M20" s="56"/>
      <c r="N20" s="56"/>
      <c r="O20" s="56"/>
    </row>
    <row r="21" spans="1:15" x14ac:dyDescent="0.25">
      <c r="A21" s="51">
        <v>2</v>
      </c>
      <c r="B21" s="51">
        <v>5</v>
      </c>
      <c r="C21" s="51" t="s">
        <v>64</v>
      </c>
      <c r="D21" s="51" t="s">
        <v>65</v>
      </c>
      <c r="E21" s="51" t="s">
        <v>52</v>
      </c>
      <c r="F21" s="51">
        <v>16.5</v>
      </c>
      <c r="G21" s="51">
        <v>10</v>
      </c>
      <c r="H21" s="74">
        <f t="shared" si="0"/>
        <v>2.1382515000000001E-2</v>
      </c>
      <c r="I21" s="75">
        <f t="shared" si="3"/>
        <v>7.1275050000000006E-2</v>
      </c>
      <c r="J21" s="74">
        <f t="shared" si="8"/>
        <v>0.23493079350000001</v>
      </c>
      <c r="K21" s="75">
        <f t="shared" si="1"/>
        <v>0.78310264500000004</v>
      </c>
      <c r="L21" s="75">
        <f t="shared" si="2"/>
        <v>3.3333333333333335</v>
      </c>
      <c r="M21" s="56"/>
      <c r="N21" s="56"/>
      <c r="O21" s="56"/>
    </row>
    <row r="22" spans="1:15" x14ac:dyDescent="0.25">
      <c r="A22" s="51">
        <v>2</v>
      </c>
      <c r="B22" s="51">
        <v>6</v>
      </c>
      <c r="C22" s="51" t="s">
        <v>64</v>
      </c>
      <c r="D22" s="51" t="s">
        <v>65</v>
      </c>
      <c r="E22" s="51" t="s">
        <v>52</v>
      </c>
      <c r="F22" s="51">
        <v>14.3</v>
      </c>
      <c r="G22" s="51">
        <v>10</v>
      </c>
      <c r="H22" s="74">
        <f t="shared" si="0"/>
        <v>1.6060644600000003E-2</v>
      </c>
      <c r="I22" s="75">
        <f t="shared" si="3"/>
        <v>5.3535482000000016E-2</v>
      </c>
      <c r="J22" s="74">
        <f t="shared" si="8"/>
        <v>0.20342307110000002</v>
      </c>
      <c r="K22" s="75">
        <f t="shared" si="1"/>
        <v>0.67807690366666673</v>
      </c>
      <c r="L22" s="75">
        <f t="shared" si="2"/>
        <v>3.3333333333333335</v>
      </c>
      <c r="M22" s="56"/>
      <c r="N22" s="56"/>
      <c r="O22" s="56"/>
    </row>
    <row r="23" spans="1:15" x14ac:dyDescent="0.25">
      <c r="A23" s="51">
        <v>2</v>
      </c>
      <c r="B23" s="51">
        <v>7</v>
      </c>
      <c r="C23" s="51" t="s">
        <v>64</v>
      </c>
      <c r="D23" s="51" t="s">
        <v>65</v>
      </c>
      <c r="E23" s="51" t="s">
        <v>62</v>
      </c>
      <c r="F23" s="51">
        <v>36</v>
      </c>
      <c r="G23" s="51">
        <v>17</v>
      </c>
      <c r="H23" s="74">
        <f t="shared" si="0"/>
        <v>0.10178783999999999</v>
      </c>
      <c r="I23" s="75">
        <f t="shared" si="3"/>
        <v>0.33929280000000001</v>
      </c>
      <c r="J23" s="74">
        <f t="shared" si="8"/>
        <v>1.132803234</v>
      </c>
      <c r="K23" s="75">
        <f t="shared" si="1"/>
        <v>3.7760107800000005</v>
      </c>
      <c r="L23" s="75">
        <f t="shared" si="2"/>
        <v>3.3333333333333335</v>
      </c>
      <c r="M23" s="56"/>
      <c r="N23" s="56"/>
      <c r="O23" s="56"/>
    </row>
    <row r="24" spans="1:15" s="1" customFormat="1" x14ac:dyDescent="0.25">
      <c r="A24" s="51">
        <v>2</v>
      </c>
      <c r="B24" s="51">
        <v>8</v>
      </c>
      <c r="C24" s="51" t="s">
        <v>64</v>
      </c>
      <c r="D24" s="51" t="s">
        <v>65</v>
      </c>
      <c r="E24" s="51" t="s">
        <v>53</v>
      </c>
      <c r="F24" s="51">
        <v>24.5</v>
      </c>
      <c r="G24" s="51">
        <v>17</v>
      </c>
      <c r="H24" s="74">
        <f t="shared" si="0"/>
        <v>4.7143634999999996E-2</v>
      </c>
      <c r="I24" s="75">
        <f t="shared" si="3"/>
        <v>0.15714544999999999</v>
      </c>
      <c r="J24" s="74">
        <f t="shared" si="8"/>
        <v>0.5828246867500001</v>
      </c>
      <c r="K24" s="75">
        <f t="shared" si="1"/>
        <v>1.9427489558333337</v>
      </c>
      <c r="L24" s="75">
        <f t="shared" si="2"/>
        <v>3.3333333333333335</v>
      </c>
      <c r="M24" s="56"/>
      <c r="N24" s="56"/>
      <c r="O24" s="56"/>
    </row>
    <row r="25" spans="1:15" s="1" customFormat="1" x14ac:dyDescent="0.25">
      <c r="A25" s="51">
        <v>2</v>
      </c>
      <c r="B25" s="51">
        <v>9</v>
      </c>
      <c r="C25" s="51" t="s">
        <v>64</v>
      </c>
      <c r="D25" s="51" t="s">
        <v>65</v>
      </c>
      <c r="E25" s="51" t="s">
        <v>52</v>
      </c>
      <c r="F25" s="51">
        <v>17.3</v>
      </c>
      <c r="G25" s="51">
        <v>14</v>
      </c>
      <c r="H25" s="74">
        <f t="shared" si="0"/>
        <v>2.3506236600000004E-2</v>
      </c>
      <c r="I25" s="75">
        <f t="shared" si="3"/>
        <v>7.8354122000000012E-2</v>
      </c>
      <c r="J25" s="74">
        <f t="shared" si="8"/>
        <v>0.30317086594000003</v>
      </c>
      <c r="K25" s="75">
        <f t="shared" si="1"/>
        <v>1.0105695531333334</v>
      </c>
      <c r="L25" s="75">
        <f t="shared" si="2"/>
        <v>3.3333333333333335</v>
      </c>
      <c r="M25" s="56"/>
      <c r="N25" s="56"/>
      <c r="O25" s="56"/>
    </row>
    <row r="26" spans="1:15" x14ac:dyDescent="0.25">
      <c r="A26" s="51">
        <v>2</v>
      </c>
      <c r="B26" s="51">
        <v>10</v>
      </c>
      <c r="C26" s="51" t="s">
        <v>64</v>
      </c>
      <c r="D26" s="51" t="s">
        <v>65</v>
      </c>
      <c r="E26" s="51" t="s">
        <v>52</v>
      </c>
      <c r="F26" s="51">
        <v>13.5</v>
      </c>
      <c r="G26" s="51">
        <v>9</v>
      </c>
      <c r="H26" s="74">
        <f t="shared" si="0"/>
        <v>1.4313915000000002E-2</v>
      </c>
      <c r="I26" s="75">
        <f t="shared" si="3"/>
        <v>4.7713050000000007E-2</v>
      </c>
      <c r="J26" s="74">
        <f t="shared" si="8"/>
        <v>0.18460725075000001</v>
      </c>
      <c r="K26" s="75">
        <f t="shared" si="1"/>
        <v>0.6153575025000001</v>
      </c>
      <c r="L26" s="75">
        <f t="shared" si="2"/>
        <v>3.3333333333333335</v>
      </c>
      <c r="M26" s="56"/>
      <c r="N26" s="56"/>
      <c r="O26" s="56"/>
    </row>
    <row r="27" spans="1:15" x14ac:dyDescent="0.25">
      <c r="A27" s="51">
        <v>2</v>
      </c>
      <c r="B27" s="51">
        <v>11</v>
      </c>
      <c r="C27" s="51" t="s">
        <v>64</v>
      </c>
      <c r="D27" s="51" t="s">
        <v>65</v>
      </c>
      <c r="E27" s="51" t="s">
        <v>52</v>
      </c>
      <c r="F27" s="51">
        <v>12</v>
      </c>
      <c r="G27" s="51">
        <v>8</v>
      </c>
      <c r="H27" s="74">
        <f t="shared" si="0"/>
        <v>1.130976E-2</v>
      </c>
      <c r="I27" s="75">
        <f t="shared" si="3"/>
        <v>3.7699200000000002E-2</v>
      </c>
      <c r="J27" s="74">
        <f t="shared" si="8"/>
        <v>0.16190411399999999</v>
      </c>
      <c r="K27" s="75">
        <f t="shared" si="1"/>
        <v>0.53968037999999996</v>
      </c>
      <c r="L27" s="75">
        <f t="shared" si="2"/>
        <v>3.3333333333333335</v>
      </c>
      <c r="M27" s="56"/>
      <c r="N27" s="56"/>
      <c r="O27" s="56"/>
    </row>
    <row r="28" spans="1:15" x14ac:dyDescent="0.25">
      <c r="A28" s="51">
        <v>3</v>
      </c>
      <c r="B28" s="51">
        <v>1</v>
      </c>
      <c r="C28" s="51" t="s">
        <v>64</v>
      </c>
      <c r="D28" s="51" t="s">
        <v>65</v>
      </c>
      <c r="E28" s="51" t="s">
        <v>52</v>
      </c>
      <c r="F28" s="51">
        <v>19</v>
      </c>
      <c r="G28" s="51">
        <v>15</v>
      </c>
      <c r="H28" s="74">
        <f t="shared" si="0"/>
        <v>2.835294E-2</v>
      </c>
      <c r="I28" s="75">
        <f t="shared" si="3"/>
        <v>9.4509800000000005E-2</v>
      </c>
      <c r="J28" s="74">
        <f t="shared" si="8"/>
        <v>0.36012935099999999</v>
      </c>
      <c r="K28" s="75">
        <f t="shared" si="1"/>
        <v>1.2004311700000001</v>
      </c>
      <c r="L28" s="75">
        <f t="shared" si="2"/>
        <v>3.3333333333333335</v>
      </c>
      <c r="M28" s="56"/>
      <c r="N28" s="56"/>
      <c r="O28" s="56"/>
    </row>
    <row r="29" spans="1:15" x14ac:dyDescent="0.25">
      <c r="A29" s="51">
        <v>3</v>
      </c>
      <c r="B29" s="51">
        <v>2</v>
      </c>
      <c r="C29" s="51" t="s">
        <v>64</v>
      </c>
      <c r="D29" s="51" t="s">
        <v>65</v>
      </c>
      <c r="E29" s="51" t="s">
        <v>52</v>
      </c>
      <c r="F29" s="51">
        <v>17</v>
      </c>
      <c r="G29" s="51">
        <v>14</v>
      </c>
      <c r="H29" s="74">
        <f t="shared" si="0"/>
        <v>2.2698060000000003E-2</v>
      </c>
      <c r="I29" s="75">
        <f t="shared" si="3"/>
        <v>7.5660200000000011E-2</v>
      </c>
      <c r="J29" s="74">
        <f t="shared" si="8"/>
        <v>0.29647222000000001</v>
      </c>
      <c r="K29" s="75">
        <f t="shared" si="1"/>
        <v>0.9882407333333334</v>
      </c>
      <c r="L29" s="75">
        <f t="shared" si="2"/>
        <v>3.3333333333333335</v>
      </c>
      <c r="M29" s="56"/>
      <c r="N29" s="56"/>
      <c r="O29" s="56"/>
    </row>
    <row r="30" spans="1:15" x14ac:dyDescent="0.25">
      <c r="A30" s="51">
        <v>3</v>
      </c>
      <c r="B30" s="51">
        <v>3</v>
      </c>
      <c r="C30" s="51" t="s">
        <v>64</v>
      </c>
      <c r="D30" s="51" t="s">
        <v>65</v>
      </c>
      <c r="E30" s="51" t="s">
        <v>52</v>
      </c>
      <c r="F30" s="51">
        <v>17</v>
      </c>
      <c r="G30" s="51">
        <v>12</v>
      </c>
      <c r="H30" s="74">
        <f t="shared" si="0"/>
        <v>2.2698060000000003E-2</v>
      </c>
      <c r="I30" s="75">
        <f t="shared" si="3"/>
        <v>7.5660200000000011E-2</v>
      </c>
      <c r="J30" s="74">
        <f t="shared" si="8"/>
        <v>0.269595798</v>
      </c>
      <c r="K30" s="75">
        <f t="shared" si="1"/>
        <v>0.89865265999999999</v>
      </c>
      <c r="L30" s="75">
        <f t="shared" si="2"/>
        <v>3.3333333333333335</v>
      </c>
      <c r="M30" s="56"/>
      <c r="N30" s="56"/>
      <c r="O30" s="56"/>
    </row>
    <row r="31" spans="1:15" x14ac:dyDescent="0.25">
      <c r="A31" s="51">
        <v>3</v>
      </c>
      <c r="B31" s="51">
        <v>4</v>
      </c>
      <c r="C31" s="51" t="s">
        <v>64</v>
      </c>
      <c r="D31" s="51" t="s">
        <v>65</v>
      </c>
      <c r="E31" s="51" t="s">
        <v>53</v>
      </c>
      <c r="F31" s="51">
        <v>24</v>
      </c>
      <c r="G31" s="51">
        <v>17</v>
      </c>
      <c r="H31" s="74">
        <f t="shared" si="0"/>
        <v>4.5239040000000001E-2</v>
      </c>
      <c r="I31" s="75">
        <f t="shared" si="3"/>
        <v>0.15079680000000001</v>
      </c>
      <c r="J31" s="74">
        <f t="shared" si="8"/>
        <v>0.56365547400000005</v>
      </c>
      <c r="K31" s="75">
        <f t="shared" si="1"/>
        <v>1.8788515800000003</v>
      </c>
      <c r="L31" s="75">
        <f t="shared" si="2"/>
        <v>3.3333333333333335</v>
      </c>
      <c r="M31" s="56"/>
      <c r="N31" s="56"/>
      <c r="O31" s="56"/>
    </row>
    <row r="32" spans="1:15" x14ac:dyDescent="0.25">
      <c r="A32" s="51">
        <v>3</v>
      </c>
      <c r="B32" s="51">
        <v>5</v>
      </c>
      <c r="C32" s="51" t="s">
        <v>64</v>
      </c>
      <c r="D32" s="51" t="s">
        <v>65</v>
      </c>
      <c r="E32" s="51" t="s">
        <v>52</v>
      </c>
      <c r="F32" s="51">
        <v>18</v>
      </c>
      <c r="G32" s="51">
        <v>14</v>
      </c>
      <c r="H32" s="74">
        <f t="shared" si="0"/>
        <v>2.5446959999999998E-2</v>
      </c>
      <c r="I32" s="75">
        <f t="shared" si="3"/>
        <v>8.4823200000000001E-2</v>
      </c>
      <c r="J32" s="74">
        <f t="shared" si="8"/>
        <v>0.31925672999999999</v>
      </c>
      <c r="K32" s="75">
        <f t="shared" si="1"/>
        <v>1.0641891000000001</v>
      </c>
      <c r="L32" s="75">
        <f t="shared" si="2"/>
        <v>3.3333333333333335</v>
      </c>
      <c r="M32" s="56"/>
      <c r="N32" s="56"/>
      <c r="O32" s="56"/>
    </row>
    <row r="33" spans="1:15" x14ac:dyDescent="0.25">
      <c r="A33" s="51">
        <v>3</v>
      </c>
      <c r="B33" s="51">
        <v>6</v>
      </c>
      <c r="C33" s="51" t="s">
        <v>64</v>
      </c>
      <c r="D33" s="51" t="s">
        <v>65</v>
      </c>
      <c r="E33" s="51" t="s">
        <v>53</v>
      </c>
      <c r="F33" s="51">
        <v>27</v>
      </c>
      <c r="G33" s="51">
        <v>15</v>
      </c>
      <c r="H33" s="74">
        <f t="shared" si="0"/>
        <v>5.7255660000000007E-2</v>
      </c>
      <c r="I33" s="75">
        <f t="shared" si="3"/>
        <v>0.19085220000000003</v>
      </c>
      <c r="J33" s="74">
        <f t="shared" si="8"/>
        <v>0.61680383100000002</v>
      </c>
      <c r="K33" s="75">
        <f t="shared" si="1"/>
        <v>2.0560127700000002</v>
      </c>
      <c r="L33" s="75">
        <f t="shared" si="2"/>
        <v>3.3333333333333335</v>
      </c>
      <c r="M33" s="56"/>
      <c r="N33" s="56"/>
      <c r="O33" s="56"/>
    </row>
    <row r="34" spans="1:15" x14ac:dyDescent="0.25">
      <c r="A34" s="51">
        <v>3</v>
      </c>
      <c r="B34" s="51">
        <v>7</v>
      </c>
      <c r="C34" s="51" t="s">
        <v>64</v>
      </c>
      <c r="D34" s="51" t="s">
        <v>65</v>
      </c>
      <c r="E34" s="51" t="s">
        <v>52</v>
      </c>
      <c r="F34" s="51">
        <v>16</v>
      </c>
      <c r="G34" s="51">
        <v>11</v>
      </c>
      <c r="H34" s="74">
        <f t="shared" ref="H34:H65" si="9">0.7854*(F34/100)^2</f>
        <v>2.0106240000000001E-2</v>
      </c>
      <c r="I34" s="75">
        <f t="shared" si="3"/>
        <v>6.7020800000000005E-2</v>
      </c>
      <c r="J34" s="74">
        <f t="shared" si="8"/>
        <v>0.23927845000000003</v>
      </c>
      <c r="K34" s="75">
        <f t="shared" si="1"/>
        <v>0.79759483333333347</v>
      </c>
      <c r="L34" s="75">
        <f t="shared" si="2"/>
        <v>3.3333333333333335</v>
      </c>
      <c r="M34" s="56"/>
      <c r="N34" s="56"/>
      <c r="O34" s="56"/>
    </row>
    <row r="35" spans="1:15" x14ac:dyDescent="0.25">
      <c r="A35" s="51">
        <v>3</v>
      </c>
      <c r="B35" s="51">
        <v>9</v>
      </c>
      <c r="C35" s="51" t="s">
        <v>64</v>
      </c>
      <c r="D35" s="51" t="s">
        <v>65</v>
      </c>
      <c r="E35" s="51" t="s">
        <v>52</v>
      </c>
      <c r="F35" s="51">
        <v>15</v>
      </c>
      <c r="G35" s="51">
        <v>12</v>
      </c>
      <c r="H35" s="74">
        <f t="shared" si="9"/>
        <v>1.76715E-2</v>
      </c>
      <c r="I35" s="75">
        <f t="shared" si="3"/>
        <v>5.8904999999999999E-2</v>
      </c>
      <c r="J35" s="74">
        <f t="shared" si="8"/>
        <v>0.23388456600000002</v>
      </c>
      <c r="K35" s="75">
        <f t="shared" si="1"/>
        <v>0.77961522000000005</v>
      </c>
      <c r="L35" s="75">
        <f t="shared" si="2"/>
        <v>3.3333333333333335</v>
      </c>
      <c r="M35" s="56"/>
      <c r="N35" s="56"/>
      <c r="O35" s="56"/>
    </row>
    <row r="36" spans="1:15" x14ac:dyDescent="0.25">
      <c r="A36" s="51">
        <v>3</v>
      </c>
      <c r="B36" s="51">
        <v>10</v>
      </c>
      <c r="C36" s="51" t="s">
        <v>64</v>
      </c>
      <c r="D36" s="51" t="s">
        <v>65</v>
      </c>
      <c r="E36" s="51" t="s">
        <v>52</v>
      </c>
      <c r="F36" s="51">
        <v>19</v>
      </c>
      <c r="G36" s="51">
        <v>10</v>
      </c>
      <c r="H36" s="74">
        <f t="shared" si="9"/>
        <v>2.835294E-2</v>
      </c>
      <c r="I36" s="75">
        <f t="shared" si="3"/>
        <v>9.4509800000000005E-2</v>
      </c>
      <c r="J36" s="74">
        <f t="shared" si="8"/>
        <v>0.27619865599999999</v>
      </c>
      <c r="K36" s="75">
        <f t="shared" si="1"/>
        <v>0.92066218666666666</v>
      </c>
      <c r="L36" s="75">
        <f t="shared" si="2"/>
        <v>3.3333333333333335</v>
      </c>
      <c r="M36" s="56"/>
      <c r="N36" s="56"/>
      <c r="O36" s="56"/>
    </row>
    <row r="37" spans="1:15" x14ac:dyDescent="0.25">
      <c r="A37" s="51">
        <v>3</v>
      </c>
      <c r="B37" s="51">
        <v>11</v>
      </c>
      <c r="C37" s="51" t="s">
        <v>64</v>
      </c>
      <c r="D37" s="51" t="s">
        <v>65</v>
      </c>
      <c r="E37" s="51" t="s">
        <v>53</v>
      </c>
      <c r="F37" s="51">
        <v>29</v>
      </c>
      <c r="G37" s="51">
        <v>19</v>
      </c>
      <c r="H37" s="74">
        <f t="shared" si="9"/>
        <v>6.6052139999999995E-2</v>
      </c>
      <c r="I37" s="75">
        <f t="shared" si="3"/>
        <v>0.2201738</v>
      </c>
      <c r="J37" s="74">
        <f t="shared" si="8"/>
        <v>0.85134478700000005</v>
      </c>
      <c r="K37" s="75">
        <f t="shared" si="1"/>
        <v>2.8378159566666668</v>
      </c>
      <c r="L37" s="75">
        <f t="shared" si="2"/>
        <v>3.3333333333333335</v>
      </c>
      <c r="M37" s="56"/>
      <c r="N37" s="56"/>
      <c r="O37" s="56"/>
    </row>
    <row r="38" spans="1:15" x14ac:dyDescent="0.25">
      <c r="A38" s="51">
        <v>3</v>
      </c>
      <c r="B38" s="51">
        <v>12</v>
      </c>
      <c r="C38" s="51" t="s">
        <v>64</v>
      </c>
      <c r="D38" s="51" t="s">
        <v>65</v>
      </c>
      <c r="E38" s="51" t="s">
        <v>53</v>
      </c>
      <c r="F38" s="51">
        <v>26</v>
      </c>
      <c r="G38" s="51">
        <v>16</v>
      </c>
      <c r="H38" s="74">
        <f t="shared" si="9"/>
        <v>5.3093040000000008E-2</v>
      </c>
      <c r="I38" s="75">
        <f t="shared" si="3"/>
        <v>0.17697680000000005</v>
      </c>
      <c r="J38" s="74">
        <f t="shared" si="8"/>
        <v>0.61127045000000013</v>
      </c>
      <c r="K38" s="75">
        <f t="shared" si="1"/>
        <v>2.0375681666666674</v>
      </c>
      <c r="L38" s="75">
        <f t="shared" si="2"/>
        <v>3.3333333333333335</v>
      </c>
      <c r="M38" s="56"/>
      <c r="N38" s="56"/>
      <c r="O38" s="56"/>
    </row>
    <row r="39" spans="1:15" x14ac:dyDescent="0.25">
      <c r="A39" s="51">
        <v>3</v>
      </c>
      <c r="B39" s="51">
        <v>13</v>
      </c>
      <c r="C39" s="51" t="s">
        <v>64</v>
      </c>
      <c r="D39" s="51" t="s">
        <v>65</v>
      </c>
      <c r="E39" s="51" t="s">
        <v>52</v>
      </c>
      <c r="F39" s="51">
        <v>16</v>
      </c>
      <c r="G39" s="51">
        <v>14</v>
      </c>
      <c r="H39" s="74">
        <f t="shared" si="9"/>
        <v>2.0106240000000001E-2</v>
      </c>
      <c r="I39" s="75">
        <f t="shared" si="3"/>
        <v>6.7020800000000005E-2</v>
      </c>
      <c r="J39" s="74">
        <f t="shared" si="8"/>
        <v>0.27498968200000001</v>
      </c>
      <c r="K39" s="75">
        <f t="shared" si="1"/>
        <v>0.91663227333333341</v>
      </c>
      <c r="L39" s="75">
        <f t="shared" si="2"/>
        <v>3.3333333333333335</v>
      </c>
      <c r="M39" s="56"/>
      <c r="N39" s="56"/>
      <c r="O39" s="56"/>
    </row>
    <row r="40" spans="1:15" x14ac:dyDescent="0.25">
      <c r="A40" s="51">
        <v>3</v>
      </c>
      <c r="B40" s="51">
        <v>14</v>
      </c>
      <c r="C40" s="51" t="s">
        <v>64</v>
      </c>
      <c r="D40" s="51" t="s">
        <v>65</v>
      </c>
      <c r="E40" s="51" t="s">
        <v>52</v>
      </c>
      <c r="F40" s="51">
        <v>19.899999999999999</v>
      </c>
      <c r="G40" s="51">
        <v>14</v>
      </c>
      <c r="H40" s="74">
        <f t="shared" si="9"/>
        <v>3.1102625399999993E-2</v>
      </c>
      <c r="I40" s="75">
        <f t="shared" si="3"/>
        <v>0.10367541799999998</v>
      </c>
      <c r="J40" s="74">
        <f t="shared" si="8"/>
        <v>0.36613423185999999</v>
      </c>
      <c r="K40" s="75">
        <f t="shared" si="1"/>
        <v>1.2204474395333333</v>
      </c>
      <c r="L40" s="75">
        <f t="shared" si="2"/>
        <v>3.3333333333333335</v>
      </c>
      <c r="M40" s="56"/>
      <c r="N40" s="56"/>
      <c r="O40" s="56"/>
    </row>
    <row r="41" spans="1:15" x14ac:dyDescent="0.25">
      <c r="A41" s="51">
        <v>3</v>
      </c>
      <c r="B41" s="51">
        <v>15</v>
      </c>
      <c r="C41" s="51" t="s">
        <v>64</v>
      </c>
      <c r="D41" s="51" t="s">
        <v>65</v>
      </c>
      <c r="E41" s="51" t="s">
        <v>52</v>
      </c>
      <c r="F41" s="51">
        <v>16</v>
      </c>
      <c r="G41" s="51">
        <v>11</v>
      </c>
      <c r="H41" s="74">
        <f t="shared" si="9"/>
        <v>2.0106240000000001E-2</v>
      </c>
      <c r="I41" s="75">
        <f t="shared" si="3"/>
        <v>6.7020800000000005E-2</v>
      </c>
      <c r="J41" s="74">
        <f t="shared" si="8"/>
        <v>0.23927845000000003</v>
      </c>
      <c r="K41" s="75">
        <f t="shared" si="1"/>
        <v>0.79759483333333347</v>
      </c>
      <c r="L41" s="75">
        <f t="shared" si="2"/>
        <v>3.3333333333333335</v>
      </c>
      <c r="M41" s="56"/>
      <c r="N41" s="56"/>
      <c r="O41" s="56"/>
    </row>
    <row r="42" spans="1:15" x14ac:dyDescent="0.25">
      <c r="A42" s="51">
        <v>3</v>
      </c>
      <c r="B42" s="51">
        <v>16</v>
      </c>
      <c r="C42" s="51" t="s">
        <v>64</v>
      </c>
      <c r="D42" s="51" t="s">
        <v>65</v>
      </c>
      <c r="E42" s="51" t="s">
        <v>53</v>
      </c>
      <c r="F42" s="51">
        <v>24</v>
      </c>
      <c r="G42" s="51">
        <v>13</v>
      </c>
      <c r="H42" s="74">
        <f t="shared" si="9"/>
        <v>4.5239040000000001E-2</v>
      </c>
      <c r="I42" s="75">
        <f t="shared" si="3"/>
        <v>0.15079680000000001</v>
      </c>
      <c r="J42" s="74">
        <f t="shared" si="8"/>
        <v>0.45652177799999999</v>
      </c>
      <c r="K42" s="75">
        <f t="shared" si="1"/>
        <v>1.5217392599999999</v>
      </c>
      <c r="L42" s="75">
        <f t="shared" si="2"/>
        <v>3.3333333333333335</v>
      </c>
      <c r="M42" s="56"/>
      <c r="N42" s="56"/>
      <c r="O42" s="56"/>
    </row>
    <row r="43" spans="1:15" x14ac:dyDescent="0.25">
      <c r="A43" s="51">
        <v>3</v>
      </c>
      <c r="B43" s="51">
        <v>17</v>
      </c>
      <c r="C43" s="51" t="s">
        <v>64</v>
      </c>
      <c r="D43" s="51" t="s">
        <v>65</v>
      </c>
      <c r="E43" s="51" t="s">
        <v>52</v>
      </c>
      <c r="F43" s="51">
        <v>14</v>
      </c>
      <c r="G43" s="51">
        <v>13</v>
      </c>
      <c r="H43" s="74">
        <f t="shared" si="9"/>
        <v>1.5393840000000002E-2</v>
      </c>
      <c r="I43" s="75">
        <f t="shared" si="3"/>
        <v>5.1312800000000013E-2</v>
      </c>
      <c r="J43" s="74">
        <f t="shared" si="8"/>
        <v>0.22681671800000003</v>
      </c>
      <c r="K43" s="75">
        <f t="shared" si="1"/>
        <v>0.75605572666666676</v>
      </c>
      <c r="L43" s="75">
        <f t="shared" si="2"/>
        <v>3.3333333333333335</v>
      </c>
      <c r="M43" s="56"/>
      <c r="N43" s="56"/>
      <c r="O43" s="56"/>
    </row>
    <row r="44" spans="1:15" s="1" customFormat="1" x14ac:dyDescent="0.25">
      <c r="A44" s="51">
        <v>3</v>
      </c>
      <c r="B44" s="51">
        <v>18</v>
      </c>
      <c r="C44" s="51" t="s">
        <v>64</v>
      </c>
      <c r="D44" s="51" t="s">
        <v>65</v>
      </c>
      <c r="E44" s="51" t="s">
        <v>53</v>
      </c>
      <c r="F44" s="51">
        <v>26</v>
      </c>
      <c r="G44" s="51">
        <v>14</v>
      </c>
      <c r="H44" s="74">
        <f t="shared" si="9"/>
        <v>5.3093040000000008E-2</v>
      </c>
      <c r="I44" s="75">
        <f t="shared" si="3"/>
        <v>0.17697680000000005</v>
      </c>
      <c r="J44" s="74">
        <f t="shared" si="8"/>
        <v>0.54840380200000005</v>
      </c>
      <c r="K44" s="75">
        <f t="shared" si="1"/>
        <v>1.8280126733333335</v>
      </c>
      <c r="L44" s="75">
        <f t="shared" si="2"/>
        <v>3.3333333333333335</v>
      </c>
      <c r="M44" s="56"/>
      <c r="N44" s="56"/>
      <c r="O44" s="56"/>
    </row>
    <row r="45" spans="1:15" s="1" customFormat="1" x14ac:dyDescent="0.25">
      <c r="A45" s="51">
        <v>3</v>
      </c>
      <c r="B45" s="51">
        <v>19</v>
      </c>
      <c r="C45" s="51" t="s">
        <v>64</v>
      </c>
      <c r="D45" s="51" t="s">
        <v>65</v>
      </c>
      <c r="E45" s="51" t="s">
        <v>53</v>
      </c>
      <c r="F45" s="51">
        <v>25</v>
      </c>
      <c r="G45" s="51">
        <v>16</v>
      </c>
      <c r="H45" s="74">
        <f t="shared" si="9"/>
        <v>4.9087499999999999E-2</v>
      </c>
      <c r="I45" s="75">
        <f t="shared" si="3"/>
        <v>0.16362499999999999</v>
      </c>
      <c r="J45" s="74">
        <f t="shared" si="8"/>
        <v>0.57332726600000006</v>
      </c>
      <c r="K45" s="75">
        <f t="shared" si="1"/>
        <v>1.9110908866666669</v>
      </c>
      <c r="L45" s="75">
        <f t="shared" si="2"/>
        <v>3.3333333333333335</v>
      </c>
      <c r="M45" s="56"/>
      <c r="N45" s="56"/>
      <c r="O45" s="56"/>
    </row>
    <row r="46" spans="1:15" s="1" customFormat="1" x14ac:dyDescent="0.25">
      <c r="A46" s="51">
        <v>3</v>
      </c>
      <c r="B46" s="51">
        <v>20</v>
      </c>
      <c r="C46" s="51" t="s">
        <v>64</v>
      </c>
      <c r="D46" s="51" t="s">
        <v>65</v>
      </c>
      <c r="E46" s="51" t="s">
        <v>53</v>
      </c>
      <c r="F46" s="51">
        <v>15</v>
      </c>
      <c r="G46" s="51">
        <v>14</v>
      </c>
      <c r="H46" s="74">
        <f t="shared" si="9"/>
        <v>1.76715E-2</v>
      </c>
      <c r="I46" s="75">
        <f t="shared" si="3"/>
        <v>5.8904999999999999E-2</v>
      </c>
      <c r="J46" s="74">
        <f t="shared" si="8"/>
        <v>0.254809116</v>
      </c>
      <c r="K46" s="75">
        <f t="shared" si="1"/>
        <v>0.84936372000000004</v>
      </c>
      <c r="L46" s="75">
        <f t="shared" si="2"/>
        <v>3.3333333333333335</v>
      </c>
      <c r="M46" s="56"/>
      <c r="N46" s="56"/>
      <c r="O46" s="56"/>
    </row>
    <row r="47" spans="1:15" x14ac:dyDescent="0.25">
      <c r="A47" s="51">
        <v>3</v>
      </c>
      <c r="B47" s="51">
        <v>21</v>
      </c>
      <c r="C47" s="51" t="s">
        <v>64</v>
      </c>
      <c r="D47" s="51" t="s">
        <v>65</v>
      </c>
      <c r="E47" s="51" t="s">
        <v>52</v>
      </c>
      <c r="F47" s="51">
        <v>17</v>
      </c>
      <c r="G47" s="51">
        <v>13</v>
      </c>
      <c r="H47" s="74">
        <f t="shared" si="9"/>
        <v>2.2698060000000003E-2</v>
      </c>
      <c r="I47" s="75">
        <f t="shared" si="3"/>
        <v>7.5660200000000011E-2</v>
      </c>
      <c r="J47" s="74">
        <f t="shared" si="8"/>
        <v>0.28303400900000003</v>
      </c>
      <c r="K47" s="75">
        <f t="shared" si="1"/>
        <v>0.94344669666666681</v>
      </c>
      <c r="L47" s="75">
        <f t="shared" si="2"/>
        <v>3.3333333333333335</v>
      </c>
      <c r="M47" s="56"/>
      <c r="N47" s="56"/>
      <c r="O47" s="56"/>
    </row>
    <row r="48" spans="1:15" x14ac:dyDescent="0.25">
      <c r="A48" s="51">
        <v>3</v>
      </c>
      <c r="B48" s="51">
        <v>22</v>
      </c>
      <c r="C48" s="51" t="s">
        <v>64</v>
      </c>
      <c r="D48" s="51" t="s">
        <v>65</v>
      </c>
      <c r="E48" s="51" t="s">
        <v>52</v>
      </c>
      <c r="F48" s="51">
        <v>13</v>
      </c>
      <c r="G48" s="51">
        <v>12</v>
      </c>
      <c r="H48" s="74">
        <f t="shared" si="9"/>
        <v>1.3273260000000002E-2</v>
      </c>
      <c r="I48" s="75">
        <f t="shared" si="3"/>
        <v>4.4244200000000011E-2</v>
      </c>
      <c r="J48" s="74">
        <f t="shared" si="8"/>
        <v>0.202637238</v>
      </c>
      <c r="K48" s="75">
        <f t="shared" si="1"/>
        <v>0.67545746000000007</v>
      </c>
      <c r="L48" s="75">
        <f t="shared" si="2"/>
        <v>3.3333333333333335</v>
      </c>
      <c r="M48" s="56"/>
      <c r="N48" s="56"/>
      <c r="O48" s="56"/>
    </row>
    <row r="49" spans="1:15" x14ac:dyDescent="0.25">
      <c r="A49" s="51">
        <v>3</v>
      </c>
      <c r="B49" s="51">
        <v>23</v>
      </c>
      <c r="C49" s="51" t="s">
        <v>64</v>
      </c>
      <c r="D49" s="51" t="s">
        <v>65</v>
      </c>
      <c r="E49" s="51" t="s">
        <v>52</v>
      </c>
      <c r="F49" s="51">
        <v>19.5</v>
      </c>
      <c r="G49" s="51">
        <v>16</v>
      </c>
      <c r="H49" s="74">
        <f t="shared" si="9"/>
        <v>2.9864835000000003E-2</v>
      </c>
      <c r="I49" s="75">
        <f t="shared" si="3"/>
        <v>9.9549450000000012E-2</v>
      </c>
      <c r="J49" s="74">
        <f t="shared" si="8"/>
        <v>0.39123718200000002</v>
      </c>
      <c r="K49" s="75">
        <f t="shared" si="1"/>
        <v>1.3041239400000002</v>
      </c>
      <c r="L49" s="75">
        <f t="shared" si="2"/>
        <v>3.3333333333333335</v>
      </c>
      <c r="M49" s="56"/>
      <c r="N49" s="56"/>
      <c r="O49" s="56"/>
    </row>
    <row r="50" spans="1:15" x14ac:dyDescent="0.25">
      <c r="A50" s="51">
        <v>4</v>
      </c>
      <c r="B50" s="51">
        <v>1</v>
      </c>
      <c r="C50" s="51" t="s">
        <v>64</v>
      </c>
      <c r="D50" s="51" t="s">
        <v>65</v>
      </c>
      <c r="E50" s="51" t="s">
        <v>52</v>
      </c>
      <c r="F50" s="51">
        <v>11</v>
      </c>
      <c r="G50" s="51">
        <v>12</v>
      </c>
      <c r="H50" s="74">
        <f t="shared" si="9"/>
        <v>9.503339999999999E-3</v>
      </c>
      <c r="I50" s="75">
        <f t="shared" si="3"/>
        <v>3.1677799999999999E-2</v>
      </c>
      <c r="J50" s="74">
        <f t="shared" ref="J50:J53" si="10">(0.108337266+0.000046499*(F50^2*G50))</f>
        <v>0.175853814</v>
      </c>
      <c r="K50" s="75">
        <f t="shared" si="1"/>
        <v>0.58617938000000003</v>
      </c>
      <c r="L50" s="75">
        <f t="shared" si="2"/>
        <v>3.3333333333333335</v>
      </c>
      <c r="M50" s="56"/>
      <c r="N50" s="56"/>
      <c r="O50" s="56"/>
    </row>
    <row r="51" spans="1:15" x14ac:dyDescent="0.25">
      <c r="A51" s="51">
        <v>4</v>
      </c>
      <c r="B51" s="51">
        <v>2</v>
      </c>
      <c r="C51" s="51" t="s">
        <v>64</v>
      </c>
      <c r="D51" s="51" t="s">
        <v>65</v>
      </c>
      <c r="E51" s="51" t="s">
        <v>52</v>
      </c>
      <c r="F51" s="51">
        <v>12</v>
      </c>
      <c r="G51" s="51">
        <v>13</v>
      </c>
      <c r="H51" s="74">
        <f t="shared" si="9"/>
        <v>1.130976E-2</v>
      </c>
      <c r="I51" s="75">
        <f t="shared" si="3"/>
        <v>3.7699200000000002E-2</v>
      </c>
      <c r="J51" s="74">
        <f t="shared" si="10"/>
        <v>0.19538339399999999</v>
      </c>
      <c r="K51" s="75">
        <f t="shared" si="1"/>
        <v>0.65127798000000003</v>
      </c>
      <c r="L51" s="75">
        <f t="shared" si="2"/>
        <v>3.3333333333333335</v>
      </c>
      <c r="M51" s="56"/>
      <c r="N51" s="56"/>
      <c r="O51" s="56"/>
    </row>
    <row r="52" spans="1:15" x14ac:dyDescent="0.25">
      <c r="A52" s="51">
        <v>4</v>
      </c>
      <c r="B52" s="51">
        <v>3</v>
      </c>
      <c r="C52" s="51" t="s">
        <v>64</v>
      </c>
      <c r="D52" s="51" t="s">
        <v>65</v>
      </c>
      <c r="E52" s="51" t="s">
        <v>52</v>
      </c>
      <c r="F52" s="51">
        <v>13</v>
      </c>
      <c r="G52" s="51">
        <v>12</v>
      </c>
      <c r="H52" s="74">
        <f t="shared" si="9"/>
        <v>1.3273260000000002E-2</v>
      </c>
      <c r="I52" s="75">
        <f t="shared" si="3"/>
        <v>4.4244200000000011E-2</v>
      </c>
      <c r="J52" s="74">
        <f t="shared" si="10"/>
        <v>0.202637238</v>
      </c>
      <c r="K52" s="75">
        <f t="shared" si="1"/>
        <v>0.67545746000000007</v>
      </c>
      <c r="L52" s="75">
        <f t="shared" si="2"/>
        <v>3.3333333333333335</v>
      </c>
      <c r="M52" s="56"/>
      <c r="N52" s="56"/>
      <c r="O52" s="56"/>
    </row>
    <row r="53" spans="1:15" x14ac:dyDescent="0.25">
      <c r="A53" s="51">
        <v>4</v>
      </c>
      <c r="B53" s="51">
        <v>4</v>
      </c>
      <c r="C53" s="51" t="s">
        <v>64</v>
      </c>
      <c r="D53" s="51" t="s">
        <v>65</v>
      </c>
      <c r="E53" s="51" t="s">
        <v>52</v>
      </c>
      <c r="F53" s="51">
        <v>16</v>
      </c>
      <c r="G53" s="51">
        <v>8</v>
      </c>
      <c r="H53" s="74">
        <f t="shared" si="9"/>
        <v>2.0106240000000001E-2</v>
      </c>
      <c r="I53" s="75">
        <f t="shared" si="3"/>
        <v>6.7020800000000005E-2</v>
      </c>
      <c r="J53" s="74">
        <f t="shared" si="10"/>
        <v>0.20356721799999999</v>
      </c>
      <c r="K53" s="75">
        <f t="shared" si="1"/>
        <v>0.67855739333333331</v>
      </c>
      <c r="L53" s="75">
        <f t="shared" si="2"/>
        <v>3.3333333333333335</v>
      </c>
      <c r="M53" s="56"/>
      <c r="N53" s="56"/>
      <c r="O53" s="56"/>
    </row>
    <row r="54" spans="1:15" x14ac:dyDescent="0.25">
      <c r="A54" s="51">
        <v>4</v>
      </c>
      <c r="B54" s="51">
        <v>5</v>
      </c>
      <c r="C54" s="51" t="s">
        <v>63</v>
      </c>
      <c r="D54" s="51" t="s">
        <v>61</v>
      </c>
      <c r="E54" s="51" t="s">
        <v>52</v>
      </c>
      <c r="F54" s="51">
        <v>11</v>
      </c>
      <c r="G54" s="51">
        <v>10</v>
      </c>
      <c r="H54" s="74">
        <f t="shared" si="9"/>
        <v>9.503339999999999E-3</v>
      </c>
      <c r="I54" s="75">
        <f t="shared" si="3"/>
        <v>3.1677799999999999E-2</v>
      </c>
      <c r="J54" s="74">
        <f t="shared" ref="J54:J57" si="11">(0.0050811768+0.000286052*(F54^2*G54))</f>
        <v>0.35120409679999998</v>
      </c>
      <c r="K54" s="75">
        <f t="shared" si="1"/>
        <v>1.1706803226666667</v>
      </c>
      <c r="L54" s="75">
        <f t="shared" si="2"/>
        <v>3.3333333333333335</v>
      </c>
      <c r="M54" s="56"/>
      <c r="N54" s="56"/>
      <c r="O54" s="56"/>
    </row>
    <row r="55" spans="1:15" x14ac:dyDescent="0.25">
      <c r="A55" s="51">
        <v>4</v>
      </c>
      <c r="B55" s="51">
        <v>6</v>
      </c>
      <c r="C55" s="51" t="s">
        <v>63</v>
      </c>
      <c r="D55" s="51" t="s">
        <v>61</v>
      </c>
      <c r="E55" s="51" t="s">
        <v>52</v>
      </c>
      <c r="F55" s="51">
        <v>18</v>
      </c>
      <c r="G55" s="51">
        <v>16</v>
      </c>
      <c r="H55" s="74">
        <f t="shared" si="9"/>
        <v>2.5446959999999998E-2</v>
      </c>
      <c r="I55" s="75">
        <f t="shared" si="3"/>
        <v>8.4823200000000001E-2</v>
      </c>
      <c r="J55" s="74">
        <f t="shared" si="11"/>
        <v>1.4879747448000002</v>
      </c>
      <c r="K55" s="75">
        <f t="shared" si="1"/>
        <v>4.9599158160000014</v>
      </c>
      <c r="L55" s="75">
        <f t="shared" si="2"/>
        <v>3.3333333333333335</v>
      </c>
      <c r="M55" s="56"/>
      <c r="N55" s="56"/>
      <c r="O55" s="56"/>
    </row>
    <row r="56" spans="1:15" x14ac:dyDescent="0.25">
      <c r="A56" s="51">
        <v>4</v>
      </c>
      <c r="B56" s="51">
        <v>7</v>
      </c>
      <c r="C56" s="51" t="s">
        <v>63</v>
      </c>
      <c r="D56" s="51" t="s">
        <v>61</v>
      </c>
      <c r="E56" s="51" t="s">
        <v>52</v>
      </c>
      <c r="F56" s="51">
        <v>17</v>
      </c>
      <c r="G56" s="51">
        <v>14</v>
      </c>
      <c r="H56" s="74">
        <f t="shared" si="9"/>
        <v>2.2698060000000003E-2</v>
      </c>
      <c r="I56" s="75">
        <f t="shared" si="3"/>
        <v>7.5660200000000011E-2</v>
      </c>
      <c r="J56" s="74">
        <f t="shared" si="11"/>
        <v>1.1624475688000002</v>
      </c>
      <c r="K56" s="75">
        <f t="shared" si="1"/>
        <v>3.8748252293333341</v>
      </c>
      <c r="L56" s="75">
        <f t="shared" si="2"/>
        <v>3.3333333333333335</v>
      </c>
      <c r="M56" s="56"/>
      <c r="N56" s="56"/>
      <c r="O56" s="56"/>
    </row>
    <row r="57" spans="1:15" x14ac:dyDescent="0.25">
      <c r="A57" s="51">
        <v>4</v>
      </c>
      <c r="B57" s="51">
        <v>8</v>
      </c>
      <c r="C57" s="51" t="s">
        <v>63</v>
      </c>
      <c r="D57" s="51" t="s">
        <v>61</v>
      </c>
      <c r="E57" s="51" t="s">
        <v>53</v>
      </c>
      <c r="F57" s="51">
        <v>20</v>
      </c>
      <c r="G57" s="51">
        <v>15</v>
      </c>
      <c r="H57" s="74">
        <f t="shared" si="9"/>
        <v>3.1416000000000006E-2</v>
      </c>
      <c r="I57" s="75">
        <f t="shared" si="3"/>
        <v>0.10472000000000002</v>
      </c>
      <c r="J57" s="74">
        <f t="shared" si="11"/>
        <v>1.7213931768000001</v>
      </c>
      <c r="K57" s="75">
        <f t="shared" si="1"/>
        <v>5.7379772560000006</v>
      </c>
      <c r="L57" s="75">
        <f t="shared" si="2"/>
        <v>3.3333333333333335</v>
      </c>
      <c r="M57" s="56"/>
      <c r="N57" s="56"/>
      <c r="O57" s="56"/>
    </row>
    <row r="58" spans="1:15" x14ac:dyDescent="0.25">
      <c r="A58" s="51">
        <v>4</v>
      </c>
      <c r="B58" s="51">
        <v>9</v>
      </c>
      <c r="C58" s="51" t="s">
        <v>64</v>
      </c>
      <c r="D58" s="51" t="s">
        <v>65</v>
      </c>
      <c r="E58" s="51" t="s">
        <v>52</v>
      </c>
      <c r="F58" s="51">
        <v>18</v>
      </c>
      <c r="G58" s="51">
        <v>13</v>
      </c>
      <c r="H58" s="74">
        <f t="shared" si="9"/>
        <v>2.5446959999999998E-2</v>
      </c>
      <c r="I58" s="75">
        <f t="shared" si="3"/>
        <v>8.4823200000000001E-2</v>
      </c>
      <c r="J58" s="74">
        <f>(0.108337266+0.000046499*(F58^2*G58))</f>
        <v>0.30419105400000002</v>
      </c>
      <c r="K58" s="75">
        <f t="shared" si="1"/>
        <v>1.0139701800000001</v>
      </c>
      <c r="L58" s="75">
        <f t="shared" si="2"/>
        <v>3.3333333333333335</v>
      </c>
      <c r="M58" s="56"/>
      <c r="N58" s="56"/>
      <c r="O58" s="56"/>
    </row>
    <row r="59" spans="1:15" x14ac:dyDescent="0.25">
      <c r="A59" s="51">
        <v>4</v>
      </c>
      <c r="B59" s="51">
        <v>10</v>
      </c>
      <c r="C59" s="51" t="s">
        <v>63</v>
      </c>
      <c r="D59" s="51" t="s">
        <v>61</v>
      </c>
      <c r="E59" s="51" t="s">
        <v>52</v>
      </c>
      <c r="F59" s="51">
        <v>17</v>
      </c>
      <c r="G59" s="51">
        <v>14</v>
      </c>
      <c r="H59" s="74">
        <f t="shared" si="9"/>
        <v>2.2698060000000003E-2</v>
      </c>
      <c r="I59" s="75">
        <f t="shared" si="3"/>
        <v>7.5660200000000011E-2</v>
      </c>
      <c r="J59" s="74">
        <f t="shared" ref="J59:J60" si="12">(0.0050811768+0.000286052*(F59^2*G59))</f>
        <v>1.1624475688000002</v>
      </c>
      <c r="K59" s="75">
        <f t="shared" si="1"/>
        <v>3.8748252293333341</v>
      </c>
      <c r="L59" s="75">
        <f t="shared" si="2"/>
        <v>3.3333333333333335</v>
      </c>
      <c r="M59" s="56"/>
      <c r="N59" s="56"/>
      <c r="O59" s="56"/>
    </row>
    <row r="60" spans="1:15" x14ac:dyDescent="0.25">
      <c r="A60" s="51">
        <v>4</v>
      </c>
      <c r="B60" s="51">
        <v>11</v>
      </c>
      <c r="C60" s="51" t="s">
        <v>63</v>
      </c>
      <c r="D60" s="51" t="s">
        <v>61</v>
      </c>
      <c r="E60" s="51" t="s">
        <v>53</v>
      </c>
      <c r="F60" s="51">
        <v>28</v>
      </c>
      <c r="G60" s="51">
        <v>14</v>
      </c>
      <c r="H60" s="74">
        <f t="shared" si="9"/>
        <v>6.157536000000001E-2</v>
      </c>
      <c r="I60" s="75">
        <f t="shared" si="3"/>
        <v>0.20525120000000005</v>
      </c>
      <c r="J60" s="74">
        <f t="shared" si="12"/>
        <v>3.1447879288000005</v>
      </c>
      <c r="K60" s="75">
        <f t="shared" si="1"/>
        <v>10.482626429333335</v>
      </c>
      <c r="L60" s="75">
        <f t="shared" si="2"/>
        <v>3.3333333333333335</v>
      </c>
      <c r="M60" s="56"/>
      <c r="N60" s="56"/>
      <c r="O60" s="56"/>
    </row>
    <row r="61" spans="1:15" x14ac:dyDescent="0.25">
      <c r="A61" s="51">
        <v>4</v>
      </c>
      <c r="B61" s="51">
        <v>12</v>
      </c>
      <c r="C61" s="51" t="s">
        <v>64</v>
      </c>
      <c r="D61" s="51" t="s">
        <v>65</v>
      </c>
      <c r="E61" s="51" t="s">
        <v>52</v>
      </c>
      <c r="F61" s="51">
        <v>20</v>
      </c>
      <c r="G61" s="51">
        <v>10</v>
      </c>
      <c r="H61" s="74">
        <f t="shared" si="9"/>
        <v>3.1416000000000006E-2</v>
      </c>
      <c r="I61" s="75">
        <f t="shared" si="3"/>
        <v>0.10472000000000002</v>
      </c>
      <c r="J61" s="74">
        <f>(0.108337266+0.000046499*(F61^2*G61))</f>
        <v>0.29433326600000004</v>
      </c>
      <c r="K61" s="75">
        <f t="shared" si="1"/>
        <v>0.98111088666666679</v>
      </c>
      <c r="L61" s="75">
        <f t="shared" si="2"/>
        <v>3.3333333333333335</v>
      </c>
      <c r="M61" s="56"/>
      <c r="N61" s="56"/>
      <c r="O61" s="56"/>
    </row>
    <row r="62" spans="1:15" x14ac:dyDescent="0.25">
      <c r="A62" s="51">
        <v>5</v>
      </c>
      <c r="B62" s="51">
        <v>1</v>
      </c>
      <c r="C62" s="51" t="s">
        <v>54</v>
      </c>
      <c r="D62" s="51" t="s">
        <v>55</v>
      </c>
      <c r="E62" s="51" t="s">
        <v>52</v>
      </c>
      <c r="F62" s="51">
        <v>16</v>
      </c>
      <c r="G62" s="51">
        <v>10</v>
      </c>
      <c r="H62" s="74">
        <f t="shared" si="9"/>
        <v>2.0106240000000001E-2</v>
      </c>
      <c r="I62" s="75">
        <f t="shared" si="3"/>
        <v>6.7020800000000005E-2</v>
      </c>
      <c r="J62" s="74">
        <f t="shared" ref="J62:J75" si="13">(0.108337266+0.000046499*(F62^2*G62))</f>
        <v>0.22737470600000001</v>
      </c>
      <c r="K62" s="75">
        <f t="shared" si="1"/>
        <v>0.75791568666666675</v>
      </c>
      <c r="L62" s="75">
        <f t="shared" si="2"/>
        <v>3.3333333333333335</v>
      </c>
      <c r="M62" s="56"/>
      <c r="N62" s="56"/>
      <c r="O62" s="56"/>
    </row>
    <row r="63" spans="1:15" x14ac:dyDescent="0.25">
      <c r="A63" s="51">
        <v>5</v>
      </c>
      <c r="B63" s="51">
        <v>2</v>
      </c>
      <c r="C63" s="51" t="s">
        <v>54</v>
      </c>
      <c r="D63" s="51" t="s">
        <v>55</v>
      </c>
      <c r="E63" s="51" t="s">
        <v>52</v>
      </c>
      <c r="F63" s="51">
        <v>17</v>
      </c>
      <c r="G63" s="51">
        <v>10</v>
      </c>
      <c r="H63" s="74">
        <f t="shared" si="9"/>
        <v>2.2698060000000003E-2</v>
      </c>
      <c r="I63" s="75">
        <f t="shared" si="3"/>
        <v>7.5660200000000011E-2</v>
      </c>
      <c r="J63" s="74">
        <f t="shared" si="13"/>
        <v>0.24271937599999999</v>
      </c>
      <c r="K63" s="75">
        <f t="shared" si="1"/>
        <v>0.8090645866666667</v>
      </c>
      <c r="L63" s="75">
        <f t="shared" si="2"/>
        <v>3.3333333333333335</v>
      </c>
      <c r="M63" s="56"/>
      <c r="N63" s="56"/>
      <c r="O63" s="56"/>
    </row>
    <row r="64" spans="1:15" x14ac:dyDescent="0.25">
      <c r="A64" s="51">
        <v>5</v>
      </c>
      <c r="B64" s="51">
        <v>3</v>
      </c>
      <c r="C64" s="51" t="s">
        <v>54</v>
      </c>
      <c r="D64" s="51" t="s">
        <v>55</v>
      </c>
      <c r="E64" s="51" t="s">
        <v>52</v>
      </c>
      <c r="F64" s="51">
        <v>17</v>
      </c>
      <c r="G64" s="51">
        <v>10</v>
      </c>
      <c r="H64" s="74">
        <f t="shared" si="9"/>
        <v>2.2698060000000003E-2</v>
      </c>
      <c r="I64" s="75">
        <f t="shared" si="3"/>
        <v>7.5660200000000011E-2</v>
      </c>
      <c r="J64" s="74">
        <f t="shared" si="13"/>
        <v>0.24271937599999999</v>
      </c>
      <c r="K64" s="75">
        <f t="shared" si="1"/>
        <v>0.8090645866666667</v>
      </c>
      <c r="L64" s="75">
        <f t="shared" si="2"/>
        <v>3.3333333333333335</v>
      </c>
      <c r="M64" s="56"/>
      <c r="N64" s="56"/>
      <c r="O64" s="56"/>
    </row>
    <row r="65" spans="1:15" x14ac:dyDescent="0.25">
      <c r="A65" s="51">
        <v>5</v>
      </c>
      <c r="B65" s="51">
        <v>4</v>
      </c>
      <c r="C65" s="51" t="s">
        <v>54</v>
      </c>
      <c r="D65" s="51" t="s">
        <v>55</v>
      </c>
      <c r="E65" s="51" t="s">
        <v>52</v>
      </c>
      <c r="F65" s="51">
        <v>12</v>
      </c>
      <c r="G65" s="51">
        <v>9</v>
      </c>
      <c r="H65" s="74">
        <f t="shared" si="9"/>
        <v>1.130976E-2</v>
      </c>
      <c r="I65" s="75">
        <f t="shared" si="3"/>
        <v>3.7699200000000002E-2</v>
      </c>
      <c r="J65" s="74">
        <f t="shared" si="13"/>
        <v>0.16859997000000002</v>
      </c>
      <c r="K65" s="75">
        <f t="shared" si="1"/>
        <v>0.56199990000000011</v>
      </c>
      <c r="L65" s="75">
        <f t="shared" si="2"/>
        <v>3.3333333333333335</v>
      </c>
      <c r="M65" s="56"/>
      <c r="N65" s="56"/>
      <c r="O65" s="56"/>
    </row>
    <row r="66" spans="1:15" x14ac:dyDescent="0.25">
      <c r="A66" s="51">
        <v>5</v>
      </c>
      <c r="B66" s="51">
        <v>5</v>
      </c>
      <c r="C66" s="51" t="s">
        <v>54</v>
      </c>
      <c r="D66" s="51" t="s">
        <v>55</v>
      </c>
      <c r="E66" s="51" t="s">
        <v>53</v>
      </c>
      <c r="F66" s="51">
        <v>24</v>
      </c>
      <c r="G66" s="51">
        <v>13</v>
      </c>
      <c r="H66" s="74">
        <f t="shared" ref="H66:H97" si="14">0.7854*(F66/100)^2</f>
        <v>4.5239040000000001E-2</v>
      </c>
      <c r="I66" s="75">
        <f t="shared" si="3"/>
        <v>0.15079680000000001</v>
      </c>
      <c r="J66" s="74">
        <f t="shared" si="13"/>
        <v>0.45652177799999999</v>
      </c>
      <c r="K66" s="75">
        <f t="shared" si="1"/>
        <v>1.5217392599999999</v>
      </c>
      <c r="L66" s="75">
        <f t="shared" si="2"/>
        <v>3.3333333333333335</v>
      </c>
      <c r="M66" s="56"/>
      <c r="N66" s="56"/>
      <c r="O66" s="56"/>
    </row>
    <row r="67" spans="1:15" x14ac:dyDescent="0.25">
      <c r="A67" s="51">
        <v>5</v>
      </c>
      <c r="B67" s="51">
        <v>6</v>
      </c>
      <c r="C67" s="51" t="s">
        <v>54</v>
      </c>
      <c r="D67" s="51" t="s">
        <v>55</v>
      </c>
      <c r="E67" s="51" t="s">
        <v>53</v>
      </c>
      <c r="F67" s="51">
        <v>22</v>
      </c>
      <c r="G67" s="51">
        <v>13</v>
      </c>
      <c r="H67" s="74">
        <f t="shared" si="14"/>
        <v>3.8013359999999996E-2</v>
      </c>
      <c r="I67" s="75">
        <f t="shared" si="3"/>
        <v>0.1267112</v>
      </c>
      <c r="J67" s="74">
        <f t="shared" si="13"/>
        <v>0.40090897400000003</v>
      </c>
      <c r="K67" s="75">
        <f t="shared" ref="K67:K108" si="15">J67/0.3</f>
        <v>1.3363632466666668</v>
      </c>
      <c r="L67" s="75">
        <f t="shared" ref="L67:L108" si="16">1*1/0.3</f>
        <v>3.3333333333333335</v>
      </c>
      <c r="M67" s="56"/>
      <c r="N67" s="56"/>
      <c r="O67" s="56"/>
    </row>
    <row r="68" spans="1:15" x14ac:dyDescent="0.25">
      <c r="A68" s="51">
        <v>5</v>
      </c>
      <c r="B68" s="51">
        <v>7</v>
      </c>
      <c r="C68" s="51" t="s">
        <v>54</v>
      </c>
      <c r="D68" s="51" t="s">
        <v>55</v>
      </c>
      <c r="E68" s="51" t="s">
        <v>52</v>
      </c>
      <c r="F68" s="51">
        <v>12</v>
      </c>
      <c r="G68" s="51">
        <v>12</v>
      </c>
      <c r="H68" s="74">
        <f t="shared" si="14"/>
        <v>1.130976E-2</v>
      </c>
      <c r="I68" s="75">
        <f t="shared" ref="I68:I108" si="17">H68*1/0.3</f>
        <v>3.7699200000000002E-2</v>
      </c>
      <c r="J68" s="74">
        <f t="shared" si="13"/>
        <v>0.18868753799999999</v>
      </c>
      <c r="K68" s="75">
        <f t="shared" si="15"/>
        <v>0.62895846</v>
      </c>
      <c r="L68" s="75">
        <f t="shared" si="16"/>
        <v>3.3333333333333335</v>
      </c>
      <c r="M68" s="56"/>
      <c r="N68" s="56"/>
      <c r="O68" s="56"/>
    </row>
    <row r="69" spans="1:15" x14ac:dyDescent="0.25">
      <c r="A69" s="51">
        <v>5</v>
      </c>
      <c r="B69" s="51">
        <v>8</v>
      </c>
      <c r="C69" s="51" t="s">
        <v>54</v>
      </c>
      <c r="D69" s="51" t="s">
        <v>55</v>
      </c>
      <c r="E69" s="51" t="s">
        <v>52</v>
      </c>
      <c r="F69" s="51">
        <v>19.7</v>
      </c>
      <c r="G69" s="51">
        <v>16</v>
      </c>
      <c r="H69" s="74">
        <f t="shared" si="14"/>
        <v>3.048058859999999E-2</v>
      </c>
      <c r="I69" s="75">
        <f t="shared" si="17"/>
        <v>0.10160196199999998</v>
      </c>
      <c r="J69" s="74">
        <f t="shared" si="13"/>
        <v>0.39707001656000002</v>
      </c>
      <c r="K69" s="75">
        <f t="shared" si="15"/>
        <v>1.3235667218666667</v>
      </c>
      <c r="L69" s="75">
        <f t="shared" si="16"/>
        <v>3.3333333333333335</v>
      </c>
      <c r="M69" s="56"/>
      <c r="N69" s="56"/>
      <c r="O69" s="56"/>
    </row>
    <row r="70" spans="1:15" x14ac:dyDescent="0.25">
      <c r="A70" s="51">
        <v>5</v>
      </c>
      <c r="B70" s="51">
        <v>9</v>
      </c>
      <c r="C70" s="51" t="s">
        <v>54</v>
      </c>
      <c r="D70" s="51" t="s">
        <v>55</v>
      </c>
      <c r="E70" s="51" t="s">
        <v>52</v>
      </c>
      <c r="F70" s="51">
        <v>14.6</v>
      </c>
      <c r="G70" s="51">
        <v>12</v>
      </c>
      <c r="H70" s="74">
        <f t="shared" si="14"/>
        <v>1.6741586399999998E-2</v>
      </c>
      <c r="I70" s="75">
        <f t="shared" si="17"/>
        <v>5.5805287999999995E-2</v>
      </c>
      <c r="J70" s="74">
        <f t="shared" si="13"/>
        <v>0.22727798807999999</v>
      </c>
      <c r="K70" s="75">
        <f t="shared" si="15"/>
        <v>0.75759329360000005</v>
      </c>
      <c r="L70" s="75">
        <f t="shared" si="16"/>
        <v>3.3333333333333335</v>
      </c>
      <c r="M70" s="56"/>
      <c r="N70" s="56"/>
      <c r="O70" s="56"/>
    </row>
    <row r="71" spans="1:15" x14ac:dyDescent="0.25">
      <c r="A71" s="51">
        <v>5</v>
      </c>
      <c r="B71" s="51">
        <v>10</v>
      </c>
      <c r="C71" s="51" t="s">
        <v>54</v>
      </c>
      <c r="D71" s="51" t="s">
        <v>55</v>
      </c>
      <c r="E71" s="51" t="s">
        <v>52</v>
      </c>
      <c r="F71" s="51">
        <v>17</v>
      </c>
      <c r="G71" s="51">
        <v>16</v>
      </c>
      <c r="H71" s="74">
        <f t="shared" si="14"/>
        <v>2.2698060000000003E-2</v>
      </c>
      <c r="I71" s="75">
        <f t="shared" si="17"/>
        <v>7.5660200000000011E-2</v>
      </c>
      <c r="J71" s="74">
        <f t="shared" si="13"/>
        <v>0.32334864200000002</v>
      </c>
      <c r="K71" s="75">
        <f t="shared" si="15"/>
        <v>1.0778288066666668</v>
      </c>
      <c r="L71" s="75">
        <f t="shared" si="16"/>
        <v>3.3333333333333335</v>
      </c>
      <c r="M71" s="56"/>
      <c r="N71" s="56"/>
      <c r="O71" s="56"/>
    </row>
    <row r="72" spans="1:15" x14ac:dyDescent="0.25">
      <c r="A72" s="51">
        <v>5</v>
      </c>
      <c r="B72" s="51">
        <v>11</v>
      </c>
      <c r="C72" s="51" t="s">
        <v>54</v>
      </c>
      <c r="D72" s="51" t="s">
        <v>55</v>
      </c>
      <c r="E72" s="51" t="s">
        <v>52</v>
      </c>
      <c r="F72" s="51">
        <v>14</v>
      </c>
      <c r="G72" s="51">
        <v>17</v>
      </c>
      <c r="H72" s="74">
        <f t="shared" si="14"/>
        <v>1.5393840000000002E-2</v>
      </c>
      <c r="I72" s="75">
        <f t="shared" si="17"/>
        <v>5.1312800000000013E-2</v>
      </c>
      <c r="J72" s="74">
        <f t="shared" si="13"/>
        <v>0.26327193399999999</v>
      </c>
      <c r="K72" s="75">
        <f t="shared" si="15"/>
        <v>0.87757311333333332</v>
      </c>
      <c r="L72" s="75">
        <f t="shared" si="16"/>
        <v>3.3333333333333335</v>
      </c>
      <c r="M72" s="56"/>
      <c r="N72" s="56"/>
      <c r="O72" s="56"/>
    </row>
    <row r="73" spans="1:15" x14ac:dyDescent="0.25">
      <c r="A73" s="51">
        <v>5</v>
      </c>
      <c r="B73" s="51">
        <v>12</v>
      </c>
      <c r="C73" s="51" t="s">
        <v>54</v>
      </c>
      <c r="D73" s="51" t="s">
        <v>55</v>
      </c>
      <c r="E73" s="76" t="s">
        <v>52</v>
      </c>
      <c r="F73" s="51">
        <v>19.8</v>
      </c>
      <c r="G73" s="51">
        <v>15</v>
      </c>
      <c r="H73" s="74">
        <f t="shared" si="14"/>
        <v>3.0790821600000001E-2</v>
      </c>
      <c r="I73" s="75">
        <f t="shared" si="17"/>
        <v>0.10263607200000001</v>
      </c>
      <c r="J73" s="74">
        <f t="shared" si="13"/>
        <v>0.3817792854</v>
      </c>
      <c r="K73" s="75">
        <f t="shared" si="15"/>
        <v>1.272597618</v>
      </c>
      <c r="L73" s="75">
        <f t="shared" si="16"/>
        <v>3.3333333333333335</v>
      </c>
    </row>
    <row r="74" spans="1:15" x14ac:dyDescent="0.25">
      <c r="A74" s="51">
        <v>5</v>
      </c>
      <c r="B74" s="51">
        <v>13</v>
      </c>
      <c r="C74" s="51" t="s">
        <v>54</v>
      </c>
      <c r="D74" s="51" t="s">
        <v>55</v>
      </c>
      <c r="E74" s="76" t="s">
        <v>52</v>
      </c>
      <c r="F74" s="51">
        <v>19.5</v>
      </c>
      <c r="G74" s="51">
        <v>15</v>
      </c>
      <c r="H74" s="74">
        <f t="shared" si="14"/>
        <v>2.9864835000000003E-2</v>
      </c>
      <c r="I74" s="75">
        <f t="shared" si="17"/>
        <v>9.9549450000000012E-2</v>
      </c>
      <c r="J74" s="74">
        <f t="shared" si="13"/>
        <v>0.37355593725000003</v>
      </c>
      <c r="K74" s="75">
        <f t="shared" si="15"/>
        <v>1.2451864575000002</v>
      </c>
      <c r="L74" s="75">
        <f t="shared" si="16"/>
        <v>3.3333333333333335</v>
      </c>
    </row>
    <row r="75" spans="1:15" x14ac:dyDescent="0.25">
      <c r="A75" s="51">
        <v>5</v>
      </c>
      <c r="B75" s="51">
        <v>14</v>
      </c>
      <c r="C75" s="51" t="s">
        <v>54</v>
      </c>
      <c r="D75" s="51" t="s">
        <v>55</v>
      </c>
      <c r="E75" s="76" t="s">
        <v>52</v>
      </c>
      <c r="F75" s="51">
        <v>14</v>
      </c>
      <c r="G75" s="51">
        <v>13</v>
      </c>
      <c r="H75" s="74">
        <f t="shared" si="14"/>
        <v>1.5393840000000002E-2</v>
      </c>
      <c r="I75" s="75">
        <f t="shared" si="17"/>
        <v>5.1312800000000013E-2</v>
      </c>
      <c r="J75" s="74">
        <f t="shared" si="13"/>
        <v>0.22681671800000003</v>
      </c>
      <c r="K75" s="75">
        <f t="shared" si="15"/>
        <v>0.75605572666666676</v>
      </c>
      <c r="L75" s="75">
        <f t="shared" si="16"/>
        <v>3.3333333333333335</v>
      </c>
    </row>
    <row r="76" spans="1:15" x14ac:dyDescent="0.25">
      <c r="A76" s="51">
        <v>5</v>
      </c>
      <c r="B76" s="51">
        <v>15</v>
      </c>
      <c r="C76" s="51" t="s">
        <v>54</v>
      </c>
      <c r="D76" s="51" t="s">
        <v>55</v>
      </c>
      <c r="E76" s="76" t="s">
        <v>52</v>
      </c>
      <c r="F76" s="51">
        <v>15</v>
      </c>
      <c r="G76" s="51">
        <v>13</v>
      </c>
      <c r="H76" s="74">
        <f t="shared" si="14"/>
        <v>1.76715E-2</v>
      </c>
      <c r="I76" s="75">
        <f t="shared" si="17"/>
        <v>5.8904999999999999E-2</v>
      </c>
      <c r="J76" s="74">
        <f t="shared" ref="J76:J89" si="18">(0.108337266+0.000046499*(F76^2*G76))</f>
        <v>0.24434684100000004</v>
      </c>
      <c r="K76" s="75">
        <f t="shared" si="15"/>
        <v>0.81448947000000016</v>
      </c>
      <c r="L76" s="75">
        <f t="shared" si="16"/>
        <v>3.3333333333333335</v>
      </c>
    </row>
    <row r="77" spans="1:15" x14ac:dyDescent="0.25">
      <c r="A77" s="51">
        <v>5</v>
      </c>
      <c r="B77" s="51">
        <v>16</v>
      </c>
      <c r="C77" s="51" t="s">
        <v>54</v>
      </c>
      <c r="D77" s="51" t="s">
        <v>55</v>
      </c>
      <c r="E77" s="76" t="s">
        <v>52</v>
      </c>
      <c r="F77" s="51">
        <v>11</v>
      </c>
      <c r="G77" s="51">
        <v>9</v>
      </c>
      <c r="H77" s="74">
        <f t="shared" si="14"/>
        <v>9.503339999999999E-3</v>
      </c>
      <c r="I77" s="75">
        <f t="shared" si="17"/>
        <v>3.1677799999999999E-2</v>
      </c>
      <c r="J77" s="74">
        <f t="shared" si="18"/>
        <v>0.15897467700000001</v>
      </c>
      <c r="K77" s="75">
        <f t="shared" si="15"/>
        <v>0.5299155900000001</v>
      </c>
      <c r="L77" s="75">
        <f t="shared" si="16"/>
        <v>3.3333333333333335</v>
      </c>
    </row>
    <row r="78" spans="1:15" x14ac:dyDescent="0.25">
      <c r="A78" s="51">
        <v>5</v>
      </c>
      <c r="B78" s="51">
        <v>17</v>
      </c>
      <c r="C78" s="51" t="s">
        <v>54</v>
      </c>
      <c r="D78" s="51" t="s">
        <v>55</v>
      </c>
      <c r="E78" s="76" t="s">
        <v>53</v>
      </c>
      <c r="F78" s="51">
        <v>25</v>
      </c>
      <c r="G78" s="51">
        <v>18</v>
      </c>
      <c r="H78" s="74">
        <f t="shared" si="14"/>
        <v>4.9087499999999999E-2</v>
      </c>
      <c r="I78" s="75">
        <f t="shared" si="17"/>
        <v>0.16362499999999999</v>
      </c>
      <c r="J78" s="74">
        <f t="shared" si="18"/>
        <v>0.63145101600000009</v>
      </c>
      <c r="K78" s="75">
        <f t="shared" si="15"/>
        <v>2.1048367200000002</v>
      </c>
      <c r="L78" s="75">
        <f t="shared" si="16"/>
        <v>3.3333333333333335</v>
      </c>
    </row>
    <row r="79" spans="1:15" x14ac:dyDescent="0.25">
      <c r="A79" s="51">
        <v>5</v>
      </c>
      <c r="B79" s="51">
        <v>18</v>
      </c>
      <c r="C79" s="51" t="s">
        <v>54</v>
      </c>
      <c r="D79" s="51" t="s">
        <v>55</v>
      </c>
      <c r="E79" s="76" t="s">
        <v>52</v>
      </c>
      <c r="F79" s="51">
        <v>13</v>
      </c>
      <c r="G79" s="51">
        <v>13</v>
      </c>
      <c r="H79" s="74">
        <f t="shared" si="14"/>
        <v>1.3273260000000002E-2</v>
      </c>
      <c r="I79" s="75">
        <f t="shared" si="17"/>
        <v>4.4244200000000011E-2</v>
      </c>
      <c r="J79" s="74">
        <f t="shared" si="18"/>
        <v>0.21049556899999999</v>
      </c>
      <c r="K79" s="75">
        <f t="shared" si="15"/>
        <v>0.70165189666666672</v>
      </c>
      <c r="L79" s="75">
        <f t="shared" si="16"/>
        <v>3.3333333333333335</v>
      </c>
    </row>
    <row r="80" spans="1:15" x14ac:dyDescent="0.25">
      <c r="A80" s="51">
        <v>5</v>
      </c>
      <c r="B80" s="51">
        <v>19</v>
      </c>
      <c r="C80" s="51" t="s">
        <v>54</v>
      </c>
      <c r="D80" s="51" t="s">
        <v>55</v>
      </c>
      <c r="E80" s="76" t="s">
        <v>52</v>
      </c>
      <c r="F80" s="51">
        <v>15</v>
      </c>
      <c r="G80" s="51">
        <v>15</v>
      </c>
      <c r="H80" s="74">
        <f t="shared" si="14"/>
        <v>1.76715E-2</v>
      </c>
      <c r="I80" s="75">
        <f t="shared" si="17"/>
        <v>5.8904999999999999E-2</v>
      </c>
      <c r="J80" s="74">
        <f t="shared" si="18"/>
        <v>0.26527139100000002</v>
      </c>
      <c r="K80" s="75">
        <f t="shared" si="15"/>
        <v>0.88423797000000015</v>
      </c>
      <c r="L80" s="75">
        <f t="shared" si="16"/>
        <v>3.3333333333333335</v>
      </c>
    </row>
    <row r="81" spans="1:12" x14ac:dyDescent="0.25">
      <c r="A81" s="51">
        <v>5</v>
      </c>
      <c r="B81" s="51">
        <v>20</v>
      </c>
      <c r="C81" s="51" t="s">
        <v>54</v>
      </c>
      <c r="D81" s="51" t="s">
        <v>55</v>
      </c>
      <c r="E81" s="76" t="s">
        <v>52</v>
      </c>
      <c r="F81" s="51">
        <v>17</v>
      </c>
      <c r="G81" s="51">
        <v>15</v>
      </c>
      <c r="H81" s="74">
        <f t="shared" si="14"/>
        <v>2.2698060000000003E-2</v>
      </c>
      <c r="I81" s="75">
        <f t="shared" si="17"/>
        <v>7.5660200000000011E-2</v>
      </c>
      <c r="J81" s="74">
        <f t="shared" si="18"/>
        <v>0.30991043100000004</v>
      </c>
      <c r="K81" s="75">
        <f t="shared" si="15"/>
        <v>1.0330347700000002</v>
      </c>
      <c r="L81" s="75">
        <f t="shared" si="16"/>
        <v>3.3333333333333335</v>
      </c>
    </row>
    <row r="82" spans="1:12" x14ac:dyDescent="0.25">
      <c r="A82" s="51">
        <v>5</v>
      </c>
      <c r="B82" s="51">
        <v>21</v>
      </c>
      <c r="C82" s="51" t="s">
        <v>54</v>
      </c>
      <c r="D82" s="51" t="s">
        <v>55</v>
      </c>
      <c r="E82" s="76" t="s">
        <v>52</v>
      </c>
      <c r="F82" s="51">
        <v>14</v>
      </c>
      <c r="G82" s="51">
        <v>12</v>
      </c>
      <c r="H82" s="74">
        <f t="shared" si="14"/>
        <v>1.5393840000000002E-2</v>
      </c>
      <c r="I82" s="75">
        <f t="shared" si="17"/>
        <v>5.1312800000000013E-2</v>
      </c>
      <c r="J82" s="74">
        <f t="shared" si="18"/>
        <v>0.21770291400000003</v>
      </c>
      <c r="K82" s="75">
        <f t="shared" si="15"/>
        <v>0.72567638000000012</v>
      </c>
      <c r="L82" s="75">
        <f t="shared" si="16"/>
        <v>3.3333333333333335</v>
      </c>
    </row>
    <row r="83" spans="1:12" x14ac:dyDescent="0.25">
      <c r="A83" s="51">
        <v>5</v>
      </c>
      <c r="B83" s="51">
        <v>22</v>
      </c>
      <c r="C83" s="51" t="s">
        <v>54</v>
      </c>
      <c r="D83" s="51" t="s">
        <v>55</v>
      </c>
      <c r="E83" s="76" t="s">
        <v>52</v>
      </c>
      <c r="F83" s="51">
        <v>14</v>
      </c>
      <c r="G83" s="51">
        <v>10</v>
      </c>
      <c r="H83" s="74">
        <f t="shared" si="14"/>
        <v>1.5393840000000002E-2</v>
      </c>
      <c r="I83" s="75">
        <f t="shared" si="17"/>
        <v>5.1312800000000013E-2</v>
      </c>
      <c r="J83" s="74">
        <f t="shared" si="18"/>
        <v>0.19947530600000002</v>
      </c>
      <c r="K83" s="75">
        <f t="shared" si="15"/>
        <v>0.66491768666666673</v>
      </c>
      <c r="L83" s="75">
        <f t="shared" si="16"/>
        <v>3.3333333333333335</v>
      </c>
    </row>
    <row r="84" spans="1:12" s="1" customFormat="1" x14ac:dyDescent="0.25">
      <c r="A84" s="51">
        <v>5</v>
      </c>
      <c r="B84" s="51">
        <v>23</v>
      </c>
      <c r="C84" s="51" t="s">
        <v>54</v>
      </c>
      <c r="D84" s="51" t="s">
        <v>55</v>
      </c>
      <c r="E84" s="76" t="s">
        <v>53</v>
      </c>
      <c r="F84" s="51">
        <v>23</v>
      </c>
      <c r="G84" s="51">
        <v>18</v>
      </c>
      <c r="H84" s="74">
        <f t="shared" si="14"/>
        <v>4.154766E-2</v>
      </c>
      <c r="I84" s="75">
        <f t="shared" si="17"/>
        <v>0.13849220000000001</v>
      </c>
      <c r="J84" s="74">
        <f t="shared" si="18"/>
        <v>0.55110074400000009</v>
      </c>
      <c r="K84" s="75">
        <f t="shared" si="15"/>
        <v>1.8370024800000004</v>
      </c>
      <c r="L84" s="75">
        <f t="shared" si="16"/>
        <v>3.3333333333333335</v>
      </c>
    </row>
    <row r="85" spans="1:12" s="1" customFormat="1" x14ac:dyDescent="0.25">
      <c r="A85" s="51">
        <v>5</v>
      </c>
      <c r="B85" s="51">
        <v>24</v>
      </c>
      <c r="C85" s="51" t="s">
        <v>54</v>
      </c>
      <c r="D85" s="51" t="s">
        <v>55</v>
      </c>
      <c r="E85" s="76" t="s">
        <v>53</v>
      </c>
      <c r="F85" s="51">
        <v>24</v>
      </c>
      <c r="G85" s="51">
        <v>17</v>
      </c>
      <c r="H85" s="74">
        <f t="shared" si="14"/>
        <v>4.5239040000000001E-2</v>
      </c>
      <c r="I85" s="75">
        <f t="shared" si="17"/>
        <v>0.15079680000000001</v>
      </c>
      <c r="J85" s="74">
        <f t="shared" si="18"/>
        <v>0.56365547400000005</v>
      </c>
      <c r="K85" s="75">
        <f t="shared" si="15"/>
        <v>1.8788515800000003</v>
      </c>
      <c r="L85" s="75">
        <f t="shared" si="16"/>
        <v>3.3333333333333335</v>
      </c>
    </row>
    <row r="86" spans="1:12" s="1" customFormat="1" x14ac:dyDescent="0.25">
      <c r="A86" s="51">
        <v>5</v>
      </c>
      <c r="B86" s="51">
        <v>25</v>
      </c>
      <c r="C86" s="51" t="s">
        <v>54</v>
      </c>
      <c r="D86" s="51" t="s">
        <v>55</v>
      </c>
      <c r="E86" s="76" t="s">
        <v>53</v>
      </c>
      <c r="F86" s="51">
        <v>22</v>
      </c>
      <c r="G86" s="51">
        <v>16</v>
      </c>
      <c r="H86" s="74">
        <f t="shared" si="14"/>
        <v>3.8013359999999996E-2</v>
      </c>
      <c r="I86" s="75">
        <f t="shared" si="17"/>
        <v>0.1267112</v>
      </c>
      <c r="J86" s="74">
        <f t="shared" si="18"/>
        <v>0.46842552200000004</v>
      </c>
      <c r="K86" s="75">
        <f t="shared" si="15"/>
        <v>1.5614184066666668</v>
      </c>
      <c r="L86" s="75">
        <f t="shared" si="16"/>
        <v>3.3333333333333335</v>
      </c>
    </row>
    <row r="87" spans="1:12" x14ac:dyDescent="0.25">
      <c r="A87" s="51">
        <v>5</v>
      </c>
      <c r="B87" s="51">
        <v>26</v>
      </c>
      <c r="C87" s="51" t="s">
        <v>54</v>
      </c>
      <c r="D87" s="51" t="s">
        <v>55</v>
      </c>
      <c r="E87" s="76" t="s">
        <v>53</v>
      </c>
      <c r="F87" s="51">
        <v>24</v>
      </c>
      <c r="G87" s="51">
        <v>14</v>
      </c>
      <c r="H87" s="74">
        <f t="shared" si="14"/>
        <v>4.5239040000000001E-2</v>
      </c>
      <c r="I87" s="75">
        <f t="shared" si="17"/>
        <v>0.15079680000000001</v>
      </c>
      <c r="J87" s="74">
        <f t="shared" si="18"/>
        <v>0.48330520199999999</v>
      </c>
      <c r="K87" s="75">
        <f t="shared" si="15"/>
        <v>1.6110173400000001</v>
      </c>
      <c r="L87" s="75">
        <f t="shared" si="16"/>
        <v>3.3333333333333335</v>
      </c>
    </row>
    <row r="88" spans="1:12" x14ac:dyDescent="0.25">
      <c r="A88" s="51">
        <v>5</v>
      </c>
      <c r="B88" s="51">
        <v>27</v>
      </c>
      <c r="C88" s="51" t="s">
        <v>54</v>
      </c>
      <c r="D88" s="51" t="s">
        <v>55</v>
      </c>
      <c r="E88" s="76" t="s">
        <v>53</v>
      </c>
      <c r="F88" s="51">
        <v>26</v>
      </c>
      <c r="G88" s="51">
        <v>17</v>
      </c>
      <c r="H88" s="74">
        <f t="shared" si="14"/>
        <v>5.3093040000000008E-2</v>
      </c>
      <c r="I88" s="75">
        <f t="shared" si="17"/>
        <v>0.17697680000000005</v>
      </c>
      <c r="J88" s="74">
        <f t="shared" si="18"/>
        <v>0.64270377400000012</v>
      </c>
      <c r="K88" s="75">
        <f t="shared" si="15"/>
        <v>2.142345913333334</v>
      </c>
      <c r="L88" s="75">
        <f t="shared" si="16"/>
        <v>3.3333333333333335</v>
      </c>
    </row>
    <row r="89" spans="1:12" x14ac:dyDescent="0.25">
      <c r="A89" s="51">
        <v>5</v>
      </c>
      <c r="B89" s="51">
        <v>28</v>
      </c>
      <c r="C89" s="51" t="s">
        <v>54</v>
      </c>
      <c r="D89" s="51" t="s">
        <v>55</v>
      </c>
      <c r="E89" s="76" t="s">
        <v>52</v>
      </c>
      <c r="F89" s="51">
        <v>14</v>
      </c>
      <c r="G89" s="51">
        <v>11</v>
      </c>
      <c r="H89" s="74">
        <f t="shared" si="14"/>
        <v>1.5393840000000002E-2</v>
      </c>
      <c r="I89" s="75">
        <f t="shared" si="17"/>
        <v>5.1312800000000013E-2</v>
      </c>
      <c r="J89" s="74">
        <f t="shared" si="18"/>
        <v>0.20858911000000002</v>
      </c>
      <c r="K89" s="75">
        <f t="shared" si="15"/>
        <v>0.69529703333333348</v>
      </c>
      <c r="L89" s="75">
        <f t="shared" si="16"/>
        <v>3.3333333333333335</v>
      </c>
    </row>
    <row r="90" spans="1:12" x14ac:dyDescent="0.25">
      <c r="A90" s="51">
        <v>6</v>
      </c>
      <c r="B90" s="51">
        <v>1</v>
      </c>
      <c r="C90" s="51" t="s">
        <v>63</v>
      </c>
      <c r="D90" s="51" t="s">
        <v>61</v>
      </c>
      <c r="E90" s="76" t="s">
        <v>53</v>
      </c>
      <c r="F90" s="51">
        <v>22.3</v>
      </c>
      <c r="G90" s="51">
        <v>12</v>
      </c>
      <c r="H90" s="74">
        <f t="shared" si="14"/>
        <v>3.9057156600000004E-2</v>
      </c>
      <c r="I90" s="75">
        <f t="shared" si="17"/>
        <v>0.13019052200000003</v>
      </c>
      <c r="J90" s="74">
        <f>(0.0050811768+0.000286052*(F90^2*G90))</f>
        <v>1.7120907657600004</v>
      </c>
      <c r="K90" s="75">
        <f t="shared" si="15"/>
        <v>5.7069692192000012</v>
      </c>
      <c r="L90" s="75">
        <f t="shared" si="16"/>
        <v>3.3333333333333335</v>
      </c>
    </row>
    <row r="91" spans="1:12" x14ac:dyDescent="0.25">
      <c r="A91" s="51">
        <v>6</v>
      </c>
      <c r="B91" s="51">
        <v>2</v>
      </c>
      <c r="C91" s="51" t="s">
        <v>54</v>
      </c>
      <c r="D91" s="51" t="s">
        <v>55</v>
      </c>
      <c r="E91" s="76" t="s">
        <v>52</v>
      </c>
      <c r="F91" s="51">
        <v>15</v>
      </c>
      <c r="G91" s="51">
        <v>9</v>
      </c>
      <c r="H91" s="74">
        <f t="shared" si="14"/>
        <v>1.76715E-2</v>
      </c>
      <c r="I91" s="75">
        <f t="shared" si="17"/>
        <v>5.8904999999999999E-2</v>
      </c>
      <c r="J91" s="74">
        <f t="shared" ref="J91" si="19">(0.108337266+0.000046499*(F91^2*G91))</f>
        <v>0.20249774100000001</v>
      </c>
      <c r="K91" s="75">
        <f t="shared" si="15"/>
        <v>0.67499247000000007</v>
      </c>
      <c r="L91" s="75">
        <f t="shared" si="16"/>
        <v>3.3333333333333335</v>
      </c>
    </row>
    <row r="92" spans="1:12" x14ac:dyDescent="0.25">
      <c r="A92" s="51">
        <v>6</v>
      </c>
      <c r="B92" s="51">
        <v>3</v>
      </c>
      <c r="C92" s="51" t="s">
        <v>59</v>
      </c>
      <c r="D92" s="77" t="s">
        <v>60</v>
      </c>
      <c r="E92" s="76" t="s">
        <v>52</v>
      </c>
      <c r="F92" s="51">
        <v>14</v>
      </c>
      <c r="G92" s="51">
        <v>10</v>
      </c>
      <c r="H92" s="74">
        <f t="shared" si="14"/>
        <v>1.5393840000000002E-2</v>
      </c>
      <c r="I92" s="75">
        <f t="shared" si="17"/>
        <v>5.1312800000000013E-2</v>
      </c>
      <c r="J92" s="74">
        <f>(0.0134651922+0.0000289134*(F92^2*G92))</f>
        <v>7.0135456200000001E-2</v>
      </c>
      <c r="K92" s="75">
        <f t="shared" si="15"/>
        <v>0.23378485400000001</v>
      </c>
      <c r="L92" s="75">
        <f t="shared" si="16"/>
        <v>3.3333333333333335</v>
      </c>
    </row>
    <row r="93" spans="1:12" x14ac:dyDescent="0.25">
      <c r="A93" s="51">
        <v>6</v>
      </c>
      <c r="B93" s="51">
        <v>4</v>
      </c>
      <c r="C93" s="51" t="s">
        <v>59</v>
      </c>
      <c r="D93" s="77" t="s">
        <v>60</v>
      </c>
      <c r="E93" s="76" t="s">
        <v>52</v>
      </c>
      <c r="F93" s="51">
        <v>10</v>
      </c>
      <c r="G93" s="51">
        <v>8</v>
      </c>
      <c r="H93" s="74">
        <f t="shared" si="14"/>
        <v>7.8540000000000016E-3</v>
      </c>
      <c r="I93" s="75">
        <f t="shared" si="17"/>
        <v>2.6180000000000005E-2</v>
      </c>
      <c r="J93" s="74">
        <f>(0.0134651922+0.0000289134*(F93^2*G93))</f>
        <v>3.6595912199999997E-2</v>
      </c>
      <c r="K93" s="75">
        <f t="shared" si="15"/>
        <v>0.12198637399999999</v>
      </c>
      <c r="L93" s="75">
        <f t="shared" si="16"/>
        <v>3.3333333333333335</v>
      </c>
    </row>
    <row r="94" spans="1:12" x14ac:dyDescent="0.25">
      <c r="A94" s="51">
        <v>6</v>
      </c>
      <c r="B94" s="51">
        <v>5</v>
      </c>
      <c r="C94" s="51" t="s">
        <v>54</v>
      </c>
      <c r="D94" s="51" t="s">
        <v>55</v>
      </c>
      <c r="E94" s="76" t="s">
        <v>52</v>
      </c>
      <c r="F94" s="51">
        <v>10.5</v>
      </c>
      <c r="G94" s="51">
        <v>9</v>
      </c>
      <c r="H94" s="74">
        <f t="shared" si="14"/>
        <v>8.659034999999999E-3</v>
      </c>
      <c r="I94" s="75">
        <f t="shared" si="17"/>
        <v>2.8863449999999999E-2</v>
      </c>
      <c r="J94" s="74">
        <f t="shared" ref="J94" si="20">(0.108337266+0.000046499*(F94^2*G94))</f>
        <v>0.15447589875000001</v>
      </c>
      <c r="K94" s="75">
        <f t="shared" si="15"/>
        <v>0.5149196625000001</v>
      </c>
      <c r="L94" s="75">
        <f t="shared" si="16"/>
        <v>3.3333333333333335</v>
      </c>
    </row>
    <row r="95" spans="1:12" x14ac:dyDescent="0.25">
      <c r="A95" s="51">
        <v>6</v>
      </c>
      <c r="B95" s="51">
        <v>6</v>
      </c>
      <c r="C95" s="51" t="s">
        <v>63</v>
      </c>
      <c r="D95" s="51" t="s">
        <v>61</v>
      </c>
      <c r="E95" s="76" t="s">
        <v>52</v>
      </c>
      <c r="F95" s="51">
        <v>17</v>
      </c>
      <c r="G95" s="51">
        <v>13</v>
      </c>
      <c r="H95" s="74">
        <f t="shared" si="14"/>
        <v>2.2698060000000003E-2</v>
      </c>
      <c r="I95" s="75">
        <f t="shared" si="17"/>
        <v>7.5660200000000011E-2</v>
      </c>
      <c r="J95" s="74">
        <f>(0.0050811768+0.000286052*(F95^2*G95))</f>
        <v>1.0797785408000002</v>
      </c>
      <c r="K95" s="75">
        <f t="shared" si="15"/>
        <v>3.5992618026666676</v>
      </c>
      <c r="L95" s="75">
        <f t="shared" si="16"/>
        <v>3.3333333333333335</v>
      </c>
    </row>
    <row r="96" spans="1:12" x14ac:dyDescent="0.25">
      <c r="A96" s="51">
        <v>6</v>
      </c>
      <c r="B96" s="51">
        <v>7</v>
      </c>
      <c r="C96" s="51" t="s">
        <v>64</v>
      </c>
      <c r="D96" s="51" t="s">
        <v>65</v>
      </c>
      <c r="E96" s="76" t="s">
        <v>52</v>
      </c>
      <c r="F96" s="51">
        <v>17.5</v>
      </c>
      <c r="G96" s="51">
        <v>9</v>
      </c>
      <c r="H96" s="74">
        <f t="shared" si="14"/>
        <v>2.4052874999999998E-2</v>
      </c>
      <c r="I96" s="75">
        <f t="shared" si="17"/>
        <v>8.0176249999999991E-2</v>
      </c>
      <c r="J96" s="74">
        <f t="shared" ref="J96" si="21">(0.108337266+0.000046499*(F96^2*G96))</f>
        <v>0.23650013475000004</v>
      </c>
      <c r="K96" s="75">
        <f t="shared" si="15"/>
        <v>0.78833378250000019</v>
      </c>
      <c r="L96" s="75">
        <f t="shared" si="16"/>
        <v>3.3333333333333335</v>
      </c>
    </row>
    <row r="97" spans="1:12" x14ac:dyDescent="0.25">
      <c r="A97" s="51">
        <v>6</v>
      </c>
      <c r="B97" s="51">
        <v>8</v>
      </c>
      <c r="C97" s="51" t="s">
        <v>63</v>
      </c>
      <c r="D97" s="51" t="s">
        <v>61</v>
      </c>
      <c r="E97" s="76" t="s">
        <v>53</v>
      </c>
      <c r="F97" s="51">
        <v>20.3</v>
      </c>
      <c r="G97" s="51">
        <v>15</v>
      </c>
      <c r="H97" s="74">
        <f t="shared" si="14"/>
        <v>3.2365548600000002E-2</v>
      </c>
      <c r="I97" s="75">
        <f t="shared" si="17"/>
        <v>0.10788516200000001</v>
      </c>
      <c r="J97" s="74">
        <f t="shared" ref="J97:J98" si="22">(0.0050811768+0.000286052*(F97^2*G97))</f>
        <v>1.7732687070000004</v>
      </c>
      <c r="K97" s="75">
        <f t="shared" si="15"/>
        <v>5.9108956900000011</v>
      </c>
      <c r="L97" s="75">
        <f t="shared" si="16"/>
        <v>3.3333333333333335</v>
      </c>
    </row>
    <row r="98" spans="1:12" x14ac:dyDescent="0.25">
      <c r="A98" s="51">
        <v>6</v>
      </c>
      <c r="B98" s="51">
        <v>9</v>
      </c>
      <c r="C98" s="51" t="s">
        <v>63</v>
      </c>
      <c r="D98" s="51" t="s">
        <v>61</v>
      </c>
      <c r="E98" s="76" t="s">
        <v>52</v>
      </c>
      <c r="F98" s="51">
        <v>12</v>
      </c>
      <c r="G98" s="51">
        <v>9</v>
      </c>
      <c r="H98" s="74">
        <f t="shared" ref="H98:H108" si="23">0.7854*(F98/100)^2</f>
        <v>1.130976E-2</v>
      </c>
      <c r="I98" s="75">
        <f t="shared" si="17"/>
        <v>3.7699200000000002E-2</v>
      </c>
      <c r="J98" s="74">
        <f t="shared" si="22"/>
        <v>0.37580456880000002</v>
      </c>
      <c r="K98" s="75">
        <f t="shared" si="15"/>
        <v>1.2526818960000001</v>
      </c>
      <c r="L98" s="75">
        <f t="shared" si="16"/>
        <v>3.3333333333333335</v>
      </c>
    </row>
    <row r="99" spans="1:12" x14ac:dyDescent="0.25">
      <c r="A99" s="51">
        <v>6</v>
      </c>
      <c r="B99" s="51">
        <v>10</v>
      </c>
      <c r="C99" s="51" t="s">
        <v>54</v>
      </c>
      <c r="D99" s="51" t="s">
        <v>55</v>
      </c>
      <c r="E99" s="76" t="s">
        <v>52</v>
      </c>
      <c r="F99" s="51">
        <v>11</v>
      </c>
      <c r="G99" s="51">
        <v>8</v>
      </c>
      <c r="H99" s="74">
        <f t="shared" si="23"/>
        <v>9.503339999999999E-3</v>
      </c>
      <c r="I99" s="75">
        <f t="shared" si="17"/>
        <v>3.1677799999999999E-2</v>
      </c>
      <c r="J99" s="74">
        <f t="shared" ref="J99:J103" si="24">(0.108337266+0.000046499*(F99^2*G99))</f>
        <v>0.15334829799999999</v>
      </c>
      <c r="K99" s="75">
        <f t="shared" si="15"/>
        <v>0.51116099333333331</v>
      </c>
      <c r="L99" s="75">
        <f t="shared" si="16"/>
        <v>3.3333333333333335</v>
      </c>
    </row>
    <row r="100" spans="1:12" x14ac:dyDescent="0.25">
      <c r="A100" s="51">
        <v>6</v>
      </c>
      <c r="B100" s="51">
        <v>11</v>
      </c>
      <c r="C100" s="51" t="s">
        <v>54</v>
      </c>
      <c r="D100" s="51" t="s">
        <v>55</v>
      </c>
      <c r="E100" s="76" t="s">
        <v>52</v>
      </c>
      <c r="F100" s="51">
        <v>12.2</v>
      </c>
      <c r="G100" s="51">
        <v>9</v>
      </c>
      <c r="H100" s="74">
        <f t="shared" si="23"/>
        <v>1.1689893599999999E-2</v>
      </c>
      <c r="I100" s="75">
        <f t="shared" si="17"/>
        <v>3.8966311999999996E-2</v>
      </c>
      <c r="J100" s="74">
        <f t="shared" si="24"/>
        <v>0.17062546643999998</v>
      </c>
      <c r="K100" s="75">
        <f t="shared" si="15"/>
        <v>0.56875155479999995</v>
      </c>
      <c r="L100" s="75">
        <f t="shared" si="16"/>
        <v>3.3333333333333335</v>
      </c>
    </row>
    <row r="101" spans="1:12" x14ac:dyDescent="0.25">
      <c r="A101" s="51">
        <v>6</v>
      </c>
      <c r="B101" s="51">
        <v>12</v>
      </c>
      <c r="C101" s="51" t="s">
        <v>54</v>
      </c>
      <c r="D101" s="51" t="s">
        <v>55</v>
      </c>
      <c r="E101" s="76" t="s">
        <v>52</v>
      </c>
      <c r="F101" s="51">
        <v>14</v>
      </c>
      <c r="G101" s="51">
        <v>8</v>
      </c>
      <c r="H101" s="74">
        <f t="shared" si="23"/>
        <v>1.5393840000000002E-2</v>
      </c>
      <c r="I101" s="75">
        <f t="shared" si="17"/>
        <v>5.1312800000000013E-2</v>
      </c>
      <c r="J101" s="74">
        <f t="shared" si="24"/>
        <v>0.18124769800000001</v>
      </c>
      <c r="K101" s="75">
        <f t="shared" si="15"/>
        <v>0.60415899333333345</v>
      </c>
      <c r="L101" s="75">
        <f t="shared" si="16"/>
        <v>3.3333333333333335</v>
      </c>
    </row>
    <row r="102" spans="1:12" x14ac:dyDescent="0.25">
      <c r="A102" s="51">
        <v>6</v>
      </c>
      <c r="B102" s="51">
        <v>13</v>
      </c>
      <c r="C102" s="51" t="s">
        <v>64</v>
      </c>
      <c r="D102" s="51" t="s">
        <v>65</v>
      </c>
      <c r="E102" s="76" t="s">
        <v>52</v>
      </c>
      <c r="F102" s="51">
        <v>12</v>
      </c>
      <c r="G102" s="51">
        <v>8</v>
      </c>
      <c r="H102" s="74">
        <f t="shared" si="23"/>
        <v>1.130976E-2</v>
      </c>
      <c r="I102" s="75">
        <f t="shared" si="17"/>
        <v>3.7699200000000002E-2</v>
      </c>
      <c r="J102" s="74">
        <f t="shared" si="24"/>
        <v>0.16190411399999999</v>
      </c>
      <c r="K102" s="75">
        <f t="shared" si="15"/>
        <v>0.53968037999999996</v>
      </c>
      <c r="L102" s="75">
        <f t="shared" si="16"/>
        <v>3.3333333333333335</v>
      </c>
    </row>
    <row r="103" spans="1:12" x14ac:dyDescent="0.25">
      <c r="A103" s="51">
        <v>6</v>
      </c>
      <c r="B103" s="51">
        <v>14</v>
      </c>
      <c r="C103" s="51" t="s">
        <v>64</v>
      </c>
      <c r="D103" s="51" t="s">
        <v>65</v>
      </c>
      <c r="E103" s="76" t="s">
        <v>52</v>
      </c>
      <c r="F103" s="51">
        <v>13</v>
      </c>
      <c r="G103" s="51">
        <v>7</v>
      </c>
      <c r="H103" s="74">
        <f t="shared" si="23"/>
        <v>1.3273260000000002E-2</v>
      </c>
      <c r="I103" s="75">
        <f t="shared" si="17"/>
        <v>4.4244200000000011E-2</v>
      </c>
      <c r="J103" s="74">
        <f t="shared" si="24"/>
        <v>0.16334558300000002</v>
      </c>
      <c r="K103" s="75">
        <f t="shared" si="15"/>
        <v>0.5444852766666668</v>
      </c>
      <c r="L103" s="75">
        <f t="shared" si="16"/>
        <v>3.3333333333333335</v>
      </c>
    </row>
    <row r="104" spans="1:12" x14ac:dyDescent="0.25">
      <c r="A104" s="51">
        <v>6</v>
      </c>
      <c r="B104" s="51">
        <v>15</v>
      </c>
      <c r="C104" s="51" t="s">
        <v>63</v>
      </c>
      <c r="D104" s="51" t="s">
        <v>61</v>
      </c>
      <c r="E104" s="76" t="s">
        <v>53</v>
      </c>
      <c r="F104" s="51">
        <v>20.5</v>
      </c>
      <c r="G104" s="51">
        <v>14</v>
      </c>
      <c r="H104" s="74">
        <f t="shared" si="23"/>
        <v>3.3006434999999994E-2</v>
      </c>
      <c r="I104" s="75">
        <f t="shared" si="17"/>
        <v>0.11002144999999998</v>
      </c>
      <c r="J104" s="74">
        <f>(0.0050811768+0.000286052*(F104^2*G104))</f>
        <v>1.6880681188000002</v>
      </c>
      <c r="K104" s="75">
        <f t="shared" si="15"/>
        <v>5.6268937293333341</v>
      </c>
      <c r="L104" s="75">
        <f t="shared" si="16"/>
        <v>3.3333333333333335</v>
      </c>
    </row>
    <row r="105" spans="1:12" s="1" customFormat="1" x14ac:dyDescent="0.25">
      <c r="A105" s="51">
        <v>6</v>
      </c>
      <c r="B105" s="51">
        <v>16</v>
      </c>
      <c r="C105" s="51" t="s">
        <v>63</v>
      </c>
      <c r="D105" s="51" t="s">
        <v>61</v>
      </c>
      <c r="E105" s="76" t="s">
        <v>53</v>
      </c>
      <c r="F105" s="51">
        <v>21</v>
      </c>
      <c r="G105" s="51">
        <v>14</v>
      </c>
      <c r="H105" s="74">
        <f t="shared" si="23"/>
        <v>3.4636139999999996E-2</v>
      </c>
      <c r="I105" s="75">
        <f t="shared" si="17"/>
        <v>0.1154538</v>
      </c>
      <c r="J105" s="74">
        <f>(0.0050811768+0.000286052*(F105^2*G105))</f>
        <v>1.7711662248000002</v>
      </c>
      <c r="K105" s="75">
        <f t="shared" si="15"/>
        <v>5.9038874160000008</v>
      </c>
      <c r="L105" s="75">
        <f t="shared" si="16"/>
        <v>3.3333333333333335</v>
      </c>
    </row>
    <row r="106" spans="1:12" s="1" customFormat="1" x14ac:dyDescent="0.25">
      <c r="A106" s="51">
        <v>6</v>
      </c>
      <c r="B106" s="51">
        <v>17</v>
      </c>
      <c r="C106" s="51" t="s">
        <v>63</v>
      </c>
      <c r="D106" s="51" t="s">
        <v>61</v>
      </c>
      <c r="E106" s="76" t="s">
        <v>52</v>
      </c>
      <c r="F106" s="51">
        <v>14</v>
      </c>
      <c r="G106" s="51">
        <v>15</v>
      </c>
      <c r="H106" s="74">
        <f t="shared" si="23"/>
        <v>1.5393840000000002E-2</v>
      </c>
      <c r="I106" s="75">
        <f t="shared" si="17"/>
        <v>5.1312800000000013E-2</v>
      </c>
      <c r="J106" s="74">
        <f t="shared" ref="J106:J107" si="25">(0.0050811768+0.000286052*(F106^2*G106))</f>
        <v>0.84607405680000003</v>
      </c>
      <c r="K106" s="75">
        <f t="shared" si="15"/>
        <v>2.8202468560000002</v>
      </c>
      <c r="L106" s="75">
        <f t="shared" si="16"/>
        <v>3.3333333333333335</v>
      </c>
    </row>
    <row r="107" spans="1:12" s="1" customFormat="1" x14ac:dyDescent="0.25">
      <c r="A107" s="51">
        <v>6</v>
      </c>
      <c r="B107" s="51">
        <v>18</v>
      </c>
      <c r="C107" s="51" t="s">
        <v>63</v>
      </c>
      <c r="D107" s="51" t="s">
        <v>61</v>
      </c>
      <c r="E107" s="76" t="s">
        <v>53</v>
      </c>
      <c r="F107" s="51">
        <v>20</v>
      </c>
      <c r="G107" s="51">
        <v>16</v>
      </c>
      <c r="H107" s="74">
        <f t="shared" si="23"/>
        <v>3.1416000000000006E-2</v>
      </c>
      <c r="I107" s="75">
        <f t="shared" si="17"/>
        <v>0.10472000000000002</v>
      </c>
      <c r="J107" s="74">
        <f t="shared" si="25"/>
        <v>1.8358139768000001</v>
      </c>
      <c r="K107" s="75">
        <f t="shared" si="15"/>
        <v>6.119379922666667</v>
      </c>
      <c r="L107" s="75">
        <f t="shared" si="16"/>
        <v>3.3333333333333335</v>
      </c>
    </row>
    <row r="108" spans="1:12" x14ac:dyDescent="0.25">
      <c r="A108" s="51">
        <v>6</v>
      </c>
      <c r="B108" s="51">
        <v>19</v>
      </c>
      <c r="C108" s="51" t="s">
        <v>54</v>
      </c>
      <c r="D108" s="51" t="s">
        <v>55</v>
      </c>
      <c r="E108" s="76" t="s">
        <v>52</v>
      </c>
      <c r="F108" s="51">
        <v>10</v>
      </c>
      <c r="G108" s="51">
        <v>7</v>
      </c>
      <c r="H108" s="74">
        <f t="shared" si="23"/>
        <v>7.8540000000000016E-3</v>
      </c>
      <c r="I108" s="75">
        <f t="shared" si="17"/>
        <v>2.6180000000000005E-2</v>
      </c>
      <c r="J108" s="74">
        <f t="shared" ref="J108" si="26">(0.108337266+0.000046499*(F108^2*G108))</f>
        <v>0.14088656599999999</v>
      </c>
      <c r="K108" s="75">
        <f t="shared" si="15"/>
        <v>0.46962188666666665</v>
      </c>
      <c r="L108" s="75">
        <f t="shared" si="16"/>
        <v>3.3333333333333335</v>
      </c>
    </row>
    <row r="109" spans="1:12" x14ac:dyDescent="0.25">
      <c r="A109" s="71"/>
      <c r="B109" s="71"/>
    </row>
    <row r="110" spans="1:12" x14ac:dyDescent="0.25">
      <c r="A110" s="71"/>
      <c r="B110" s="71"/>
    </row>
  </sheetData>
  <autoFilter ref="A1:L108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topLeftCell="A4" workbookViewId="0">
      <selection activeCell="B14" sqref="B14:F19"/>
    </sheetView>
  </sheetViews>
  <sheetFormatPr baseColWidth="10" defaultColWidth="11.42578125" defaultRowHeight="15" x14ac:dyDescent="0.25"/>
  <cols>
    <col min="1" max="1" width="23.140625" customWidth="1"/>
    <col min="2" max="2" width="19" bestFit="1" customWidth="1"/>
    <col min="3" max="3" width="16.85546875" bestFit="1" customWidth="1"/>
    <col min="4" max="4" width="18.42578125" bestFit="1" customWidth="1"/>
    <col min="5" max="5" width="10.7109375" bestFit="1" customWidth="1"/>
    <col min="6" max="6" width="11.5703125" bestFit="1" customWidth="1"/>
    <col min="7" max="7" width="14" customWidth="1"/>
  </cols>
  <sheetData>
    <row r="3" spans="1:11" x14ac:dyDescent="0.25">
      <c r="A3" s="3" t="s">
        <v>12</v>
      </c>
      <c r="B3" t="s">
        <v>14</v>
      </c>
    </row>
    <row r="4" spans="1:11" x14ac:dyDescent="0.25">
      <c r="A4" s="4" t="s">
        <v>55</v>
      </c>
      <c r="B4" s="6">
        <v>36</v>
      </c>
    </row>
    <row r="5" spans="1:11" x14ac:dyDescent="0.25">
      <c r="A5" s="5" t="s">
        <v>54</v>
      </c>
      <c r="B5" s="6">
        <v>36</v>
      </c>
    </row>
    <row r="6" spans="1:11" x14ac:dyDescent="0.25">
      <c r="A6" s="4" t="s">
        <v>60</v>
      </c>
      <c r="B6" s="6">
        <v>2</v>
      </c>
    </row>
    <row r="7" spans="1:11" x14ac:dyDescent="0.25">
      <c r="A7" s="5" t="s">
        <v>59</v>
      </c>
      <c r="B7" s="6">
        <v>2</v>
      </c>
    </row>
    <row r="8" spans="1:11" x14ac:dyDescent="0.25">
      <c r="A8" s="4" t="s">
        <v>61</v>
      </c>
      <c r="B8" s="6">
        <v>18</v>
      </c>
    </row>
    <row r="9" spans="1:11" x14ac:dyDescent="0.25">
      <c r="A9" s="5" t="s">
        <v>63</v>
      </c>
      <c r="B9" s="6">
        <v>18</v>
      </c>
    </row>
    <row r="10" spans="1:11" x14ac:dyDescent="0.25">
      <c r="A10" s="4" t="s">
        <v>65</v>
      </c>
      <c r="B10" s="6">
        <v>51</v>
      </c>
      <c r="K10">
        <f>0.15*100/1.34</f>
        <v>11.194029850746269</v>
      </c>
    </row>
    <row r="11" spans="1:11" x14ac:dyDescent="0.25">
      <c r="A11" s="5" t="s">
        <v>64</v>
      </c>
      <c r="B11" s="6">
        <v>51</v>
      </c>
    </row>
    <row r="12" spans="1:11" x14ac:dyDescent="0.25">
      <c r="A12" s="4" t="s">
        <v>13</v>
      </c>
      <c r="B12" s="6">
        <v>107</v>
      </c>
    </row>
    <row r="14" spans="1:11" ht="45" x14ac:dyDescent="0.25">
      <c r="B14" s="18" t="s">
        <v>21</v>
      </c>
      <c r="C14" s="19" t="s">
        <v>22</v>
      </c>
      <c r="D14" s="19" t="s">
        <v>23</v>
      </c>
      <c r="E14" s="19" t="s">
        <v>24</v>
      </c>
      <c r="F14" s="20" t="s">
        <v>25</v>
      </c>
    </row>
    <row r="15" spans="1:11" s="1" customFormat="1" x14ac:dyDescent="0.25">
      <c r="B15" s="60">
        <v>1</v>
      </c>
      <c r="C15" s="62" t="str">
        <f>A5</f>
        <v>Aliso</v>
      </c>
      <c r="D15" s="62" t="str">
        <f>A4</f>
        <v>Alnus sp.</v>
      </c>
      <c r="E15" s="61">
        <f>GETPIVOTDATA("No. Arbol",$A$3,"Especie","Alnus sp.")</f>
        <v>36</v>
      </c>
      <c r="F15" s="65">
        <f>E15/E19*100</f>
        <v>33.644859813084111</v>
      </c>
    </row>
    <row r="16" spans="1:11" s="1" customFormat="1" x14ac:dyDescent="0.25">
      <c r="B16" s="60">
        <v>2</v>
      </c>
      <c r="C16" s="62" t="str">
        <f>A7</f>
        <v>Ciprés</v>
      </c>
      <c r="D16" s="62" t="str">
        <f>A6</f>
        <v>Cupresus lusitanica</v>
      </c>
      <c r="E16" s="61">
        <f>GETPIVOTDATA("No. Arbol",$A$3,"Especie","Cupresus lusitanica")</f>
        <v>2</v>
      </c>
      <c r="F16" s="65">
        <f>E16/E19*100</f>
        <v>1.8691588785046727</v>
      </c>
    </row>
    <row r="17" spans="2:6" x14ac:dyDescent="0.25">
      <c r="B17" s="8">
        <v>3</v>
      </c>
      <c r="C17" s="8" t="str">
        <f>A9</f>
        <v>Pino triste</v>
      </c>
      <c r="D17" s="9" t="str">
        <f>A8</f>
        <v>Pinus psudostrobus</v>
      </c>
      <c r="E17" s="63">
        <f>GETPIVOTDATA("No. Arbol",$A$3,"Especie","Pinus psudostrobus")</f>
        <v>18</v>
      </c>
      <c r="F17" s="64">
        <f>E17/E19*100</f>
        <v>16.822429906542055</v>
      </c>
    </row>
    <row r="18" spans="2:6" s="1" customFormat="1" x14ac:dyDescent="0.25">
      <c r="B18" s="60">
        <v>4</v>
      </c>
      <c r="C18" s="8" t="str">
        <f>A11</f>
        <v xml:space="preserve">Palo negro </v>
      </c>
      <c r="D18" s="9" t="str">
        <f>A10</f>
        <v>Quercus brachystachys</v>
      </c>
      <c r="E18" s="63">
        <f>GETPIVOTDATA("No. Arbol",$A$3,"Especie","Quercus brachystachys")</f>
        <v>51</v>
      </c>
      <c r="F18" s="64">
        <f>E18/E19*100</f>
        <v>47.663551401869157</v>
      </c>
    </row>
    <row r="19" spans="2:6" x14ac:dyDescent="0.25">
      <c r="B19" s="89" t="s">
        <v>26</v>
      </c>
      <c r="C19" s="89"/>
      <c r="D19" s="89"/>
      <c r="E19" s="52">
        <f>SUM(E15:E18)</f>
        <v>107</v>
      </c>
      <c r="F19" s="21">
        <f>SUM(F15:F18)</f>
        <v>100</v>
      </c>
    </row>
  </sheetData>
  <mergeCells count="1">
    <mergeCell ref="B19:D19"/>
  </mergeCell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8"/>
  <sheetViews>
    <sheetView topLeftCell="B2" workbookViewId="0">
      <selection activeCell="B12" sqref="B12:J18"/>
    </sheetView>
  </sheetViews>
  <sheetFormatPr baseColWidth="10" defaultColWidth="11.42578125" defaultRowHeight="15" x14ac:dyDescent="0.25"/>
  <cols>
    <col min="1" max="3" width="21.28515625" customWidth="1"/>
    <col min="4" max="4" width="22.140625" customWidth="1"/>
    <col min="5" max="5" width="15.140625" customWidth="1"/>
    <col min="6" max="6" width="21" customWidth="1"/>
    <col min="7" max="7" width="10.42578125" customWidth="1"/>
    <col min="8" max="8" width="10.28515625" customWidth="1"/>
    <col min="9" max="9" width="7.85546875" customWidth="1"/>
    <col min="10" max="10" width="8.85546875" customWidth="1"/>
  </cols>
  <sheetData>
    <row r="3" spans="1:12" x14ac:dyDescent="0.25">
      <c r="B3" s="3" t="s">
        <v>16</v>
      </c>
    </row>
    <row r="4" spans="1:12" x14ac:dyDescent="0.25">
      <c r="A4" s="3" t="s">
        <v>12</v>
      </c>
      <c r="B4" s="1" t="s">
        <v>15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12" x14ac:dyDescent="0.25">
      <c r="A5" s="4" t="s">
        <v>55</v>
      </c>
      <c r="B5" s="7">
        <v>119.99999999999994</v>
      </c>
      <c r="C5" s="2">
        <v>16.591666666666669</v>
      </c>
      <c r="D5" s="2">
        <v>12.444444444444445</v>
      </c>
      <c r="E5" s="2">
        <v>2.785978734</v>
      </c>
      <c r="F5" s="2">
        <v>35.60821132160001</v>
      </c>
    </row>
    <row r="6" spans="1:12" x14ac:dyDescent="0.25">
      <c r="A6" s="4" t="s">
        <v>60</v>
      </c>
      <c r="B6" s="7">
        <v>6.666666666666667</v>
      </c>
      <c r="C6" s="2">
        <v>12</v>
      </c>
      <c r="D6" s="2">
        <v>9</v>
      </c>
      <c r="E6" s="2">
        <v>7.7492800000000014E-2</v>
      </c>
      <c r="F6" s="2">
        <v>0.35577122799999999</v>
      </c>
    </row>
    <row r="7" spans="1:12" x14ac:dyDescent="0.25">
      <c r="A7" s="4" t="s">
        <v>61</v>
      </c>
      <c r="B7" s="7">
        <v>60.000000000000014</v>
      </c>
      <c r="C7" s="2">
        <v>20.405555555555555</v>
      </c>
      <c r="D7" s="2">
        <v>14.111111111111111</v>
      </c>
      <c r="E7" s="2">
        <v>2.2270985659999996</v>
      </c>
      <c r="F7" s="2">
        <v>126.34023042893338</v>
      </c>
      <c r="L7">
        <f>2013-1977</f>
        <v>36</v>
      </c>
    </row>
    <row r="8" spans="1:12" x14ac:dyDescent="0.25">
      <c r="A8" s="4" t="s">
        <v>65</v>
      </c>
      <c r="B8" s="7">
        <v>170.00000000000006</v>
      </c>
      <c r="C8" s="2">
        <v>17.611764705882351</v>
      </c>
      <c r="D8" s="2">
        <v>12.137254901960784</v>
      </c>
      <c r="E8" s="2">
        <v>4.5221447039999996</v>
      </c>
      <c r="F8" s="2">
        <v>54.306229049233345</v>
      </c>
    </row>
    <row r="9" spans="1:12" x14ac:dyDescent="0.25">
      <c r="A9" s="4" t="s">
        <v>13</v>
      </c>
      <c r="B9" s="7">
        <v>356.6666666666664</v>
      </c>
      <c r="C9" s="2">
        <v>17.633644859813085</v>
      </c>
      <c r="D9" s="2">
        <v>12.514018691588785</v>
      </c>
      <c r="E9" s="2">
        <v>9.6127148039999959</v>
      </c>
      <c r="F9" s="2">
        <v>216.61044202776677</v>
      </c>
    </row>
    <row r="12" spans="1:12" x14ac:dyDescent="0.25">
      <c r="B12" s="94" t="s">
        <v>27</v>
      </c>
      <c r="C12" s="94" t="s">
        <v>28</v>
      </c>
      <c r="D12" s="91" t="s">
        <v>3</v>
      </c>
      <c r="E12" s="90" t="s">
        <v>15</v>
      </c>
      <c r="F12" s="90" t="s">
        <v>17</v>
      </c>
      <c r="G12" s="90" t="s">
        <v>18</v>
      </c>
      <c r="H12" s="90" t="s">
        <v>19</v>
      </c>
      <c r="I12" s="91" t="s">
        <v>29</v>
      </c>
      <c r="J12" s="91"/>
    </row>
    <row r="13" spans="1:12" x14ac:dyDescent="0.25">
      <c r="B13" s="94"/>
      <c r="C13" s="94"/>
      <c r="D13" s="91"/>
      <c r="E13" s="90"/>
      <c r="F13" s="90"/>
      <c r="G13" s="90"/>
      <c r="H13" s="90"/>
      <c r="I13" s="17" t="s">
        <v>30</v>
      </c>
      <c r="J13" s="17" t="s">
        <v>27</v>
      </c>
    </row>
    <row r="14" spans="1:12" x14ac:dyDescent="0.25">
      <c r="B14" s="92">
        <v>1</v>
      </c>
      <c r="C14" s="93">
        <v>4.07</v>
      </c>
      <c r="D14" s="10" t="str">
        <f>A5</f>
        <v>Alnus sp.</v>
      </c>
      <c r="E14" s="14">
        <f>GETPIVOTDATA("Suma de Densidad/Ha.",$A$3,"Especie","Alnus sp.")</f>
        <v>119.99999999999994</v>
      </c>
      <c r="F14" s="11">
        <f>GETPIVOTDATA("Promedio de DAP (cm)",$A$3,"Especie","Alnus sp.")</f>
        <v>16.591666666666669</v>
      </c>
      <c r="G14" s="11">
        <f>GETPIVOTDATA("Promedio de Altura (m)",$A$3,"Especie","Alnus sp.")</f>
        <v>12.444444444444445</v>
      </c>
      <c r="H14" s="11">
        <f>GETPIVOTDATA("Suma de AB/Ha.",$A$3,"Especie","Alnus sp.")</f>
        <v>2.785978734</v>
      </c>
      <c r="I14" s="11">
        <f>GETPIVOTDATA("Suma de Volumen/Ha.",$A$3,"Especie","Alnus sp.")</f>
        <v>35.60821132160001</v>
      </c>
      <c r="J14" s="12">
        <f>I14*C14</f>
        <v>144.92542007891205</v>
      </c>
    </row>
    <row r="15" spans="1:12" s="1" customFormat="1" x14ac:dyDescent="0.25">
      <c r="B15" s="92"/>
      <c r="C15" s="93"/>
      <c r="D15" s="10" t="str">
        <f>A6</f>
        <v>Cupresus lusitanica</v>
      </c>
      <c r="E15" s="14">
        <f>GETPIVOTDATA("Suma de Densidad/Ha.",$A$3,"Especie","Cupresus lusitanica")</f>
        <v>6.666666666666667</v>
      </c>
      <c r="F15" s="11">
        <f>GETPIVOTDATA("Promedio de DAP (cm)",$A$3,"Especie","Cupresus lusitanica")</f>
        <v>12</v>
      </c>
      <c r="G15" s="11">
        <f>GETPIVOTDATA("Promedio de Altura (m)",$A$3,"Especie","Cupresus lusitanica")</f>
        <v>9</v>
      </c>
      <c r="H15" s="11">
        <f>GETPIVOTDATA("Suma de AB/Ha.",$A$3,"Especie","Cupresus lusitanica")</f>
        <v>7.7492800000000014E-2</v>
      </c>
      <c r="I15" s="11">
        <f>GETPIVOTDATA("Suma de Volumen/Ha.",$A$3,"Especie","Cupresus lusitanica")</f>
        <v>0.35577122799999999</v>
      </c>
      <c r="J15" s="53">
        <f>I15*C14</f>
        <v>1.4479888979600002</v>
      </c>
    </row>
    <row r="16" spans="1:12" s="1" customFormat="1" x14ac:dyDescent="0.25">
      <c r="B16" s="92"/>
      <c r="C16" s="93"/>
      <c r="D16" s="10" t="str">
        <f>A7</f>
        <v>Pinus psudostrobus</v>
      </c>
      <c r="E16" s="14">
        <f>GETPIVOTDATA("Suma de Densidad/Ha.",$A$3,"Especie","Pinus psudostrobus")</f>
        <v>60.000000000000014</v>
      </c>
      <c r="F16" s="11">
        <f>GETPIVOTDATA("Promedio de DAP (cm)",$A$3,"Especie","Pinus psudostrobus")</f>
        <v>20.405555555555555</v>
      </c>
      <c r="G16" s="11">
        <f>GETPIVOTDATA("Promedio de Altura (m)",$A$3,"Especie","Pinus psudostrobus")</f>
        <v>14.111111111111111</v>
      </c>
      <c r="H16" s="11">
        <f>GETPIVOTDATA("Suma de AB/Ha.",$A$3,"Especie","Pinus psudostrobus")</f>
        <v>2.2270985659999996</v>
      </c>
      <c r="I16" s="11">
        <f>GETPIVOTDATA("Suma de Volumen/Ha.",$A$3,"Especie","Pinus psudostrobus")</f>
        <v>126.34023042893338</v>
      </c>
      <c r="J16" s="53">
        <f>I16*C14</f>
        <v>514.20473784575893</v>
      </c>
    </row>
    <row r="17" spans="2:10" s="1" customFormat="1" x14ac:dyDescent="0.25">
      <c r="B17" s="92"/>
      <c r="C17" s="93"/>
      <c r="D17" s="10" t="str">
        <f>A8</f>
        <v>Quercus brachystachys</v>
      </c>
      <c r="E17" s="14">
        <f>GETPIVOTDATA("Suma de Densidad/Ha.",$A$3,"Especie","Quercus brachystachys")</f>
        <v>170.00000000000006</v>
      </c>
      <c r="F17" s="11">
        <f>GETPIVOTDATA("Promedio de DAP (cm)",$A$3,"Especie","Quercus brachystachys")</f>
        <v>17.611764705882351</v>
      </c>
      <c r="G17" s="11">
        <f>GETPIVOTDATA("Promedio de Altura (m)",$A$3,"Especie","Quercus brachystachys")</f>
        <v>12.137254901960784</v>
      </c>
      <c r="H17" s="11">
        <f>GETPIVOTDATA("Suma de AB/Ha.",$A$3,"Especie","Quercus brachystachys")</f>
        <v>4.5221447039999996</v>
      </c>
      <c r="I17" s="11">
        <f>GETPIVOTDATA("Suma de Volumen/Ha.",$A$3,"Especie","Quercus brachystachys")</f>
        <v>54.306229049233345</v>
      </c>
      <c r="J17" s="53">
        <f>I17*C14</f>
        <v>221.02635223037973</v>
      </c>
    </row>
    <row r="18" spans="2:10" x14ac:dyDescent="0.25">
      <c r="B18" s="92"/>
      <c r="C18" s="93"/>
      <c r="D18" s="15" t="s">
        <v>13</v>
      </c>
      <c r="E18" s="16">
        <f>SUM(E14:E17)</f>
        <v>356.66666666666669</v>
      </c>
      <c r="F18" s="67">
        <f>GETPIVOTDATA("Promedio de DAP (cm)",$A$3)</f>
        <v>17.633644859813085</v>
      </c>
      <c r="G18" s="67">
        <f>GETPIVOTDATA("Promedio de Altura (m)",$A$3)</f>
        <v>12.514018691588785</v>
      </c>
      <c r="H18" s="67">
        <f>GETPIVOTDATA("Suma de AB/Ha.",$A$3)</f>
        <v>9.6127148039999959</v>
      </c>
      <c r="I18" s="67">
        <f>GETPIVOTDATA("Suma de Volumen/Ha.",$A$3)</f>
        <v>216.61044202776677</v>
      </c>
      <c r="J18" s="68">
        <f>I18*C14</f>
        <v>881.60449905301084</v>
      </c>
    </row>
  </sheetData>
  <mergeCells count="10">
    <mergeCell ref="H12:H13"/>
    <mergeCell ref="I12:J12"/>
    <mergeCell ref="B14:B18"/>
    <mergeCell ref="C14:C18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A4" sqref="A4:G11"/>
    </sheetView>
  </sheetViews>
  <sheetFormatPr baseColWidth="10" defaultColWidth="11.42578125" defaultRowHeight="15" x14ac:dyDescent="0.25"/>
  <cols>
    <col min="1" max="1" width="18.140625" bestFit="1" customWidth="1"/>
    <col min="2" max="2" width="13" bestFit="1" customWidth="1"/>
    <col min="3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7" x14ac:dyDescent="0.25">
      <c r="B3" s="3" t="s">
        <v>16</v>
      </c>
    </row>
    <row r="4" spans="1:7" ht="30" x14ac:dyDescent="0.25">
      <c r="A4" s="47" t="s">
        <v>32</v>
      </c>
      <c r="B4" s="27" t="s">
        <v>15</v>
      </c>
      <c r="C4" s="27" t="s">
        <v>17</v>
      </c>
      <c r="D4" s="27" t="s">
        <v>18</v>
      </c>
      <c r="E4" s="27" t="s">
        <v>19</v>
      </c>
      <c r="F4" s="47" t="s">
        <v>20</v>
      </c>
      <c r="G4" s="20" t="s">
        <v>31</v>
      </c>
    </row>
    <row r="5" spans="1:7" x14ac:dyDescent="0.25">
      <c r="A5" s="46">
        <v>1</v>
      </c>
      <c r="B5" s="24">
        <v>50.000000000000007</v>
      </c>
      <c r="C5" s="25">
        <v>16</v>
      </c>
      <c r="D5" s="25">
        <v>11.333333333333334</v>
      </c>
      <c r="E5" s="25">
        <v>1.1880484</v>
      </c>
      <c r="F5" s="45">
        <v>41.508577594666669</v>
      </c>
      <c r="G5" s="26">
        <f>F5*4.07</f>
        <v>168.93991081029336</v>
      </c>
    </row>
    <row r="6" spans="1:7" x14ac:dyDescent="0.25">
      <c r="A6" s="46">
        <v>2</v>
      </c>
      <c r="B6" s="24">
        <v>36.666666666666664</v>
      </c>
      <c r="C6" s="25">
        <v>21.045454545454547</v>
      </c>
      <c r="D6" s="25">
        <v>12.181818181818182</v>
      </c>
      <c r="E6" s="25">
        <v>1.4796962180000002</v>
      </c>
      <c r="F6" s="45">
        <v>38.798568123600006</v>
      </c>
      <c r="G6" s="26">
        <f t="shared" ref="G6:G11" si="0">F6*4.07</f>
        <v>157.91017226305203</v>
      </c>
    </row>
    <row r="7" spans="1:7" x14ac:dyDescent="0.25">
      <c r="A7" s="46">
        <v>3</v>
      </c>
      <c r="B7" s="24">
        <v>73.333333333333343</v>
      </c>
      <c r="C7" s="25">
        <v>19.654545454545453</v>
      </c>
      <c r="D7" s="25">
        <v>13.863636363636363</v>
      </c>
      <c r="E7" s="25">
        <v>2.3486758680000008</v>
      </c>
      <c r="F7" s="45">
        <v>28.183599286200003</v>
      </c>
      <c r="G7" s="26">
        <f t="shared" si="0"/>
        <v>114.70724909483403</v>
      </c>
    </row>
    <row r="8" spans="1:7" x14ac:dyDescent="0.25">
      <c r="A8" s="46">
        <v>4</v>
      </c>
      <c r="B8" s="24">
        <v>40</v>
      </c>
      <c r="C8" s="25">
        <v>16.75</v>
      </c>
      <c r="D8" s="25">
        <v>12.583333333333334</v>
      </c>
      <c r="E8" s="25">
        <v>0.94797780000000031</v>
      </c>
      <c r="F8" s="45">
        <v>34.687403562666674</v>
      </c>
      <c r="G8" s="26">
        <f t="shared" si="0"/>
        <v>141.17773250005337</v>
      </c>
    </row>
    <row r="9" spans="1:7" x14ac:dyDescent="0.25">
      <c r="A9" s="46">
        <v>5</v>
      </c>
      <c r="B9" s="24">
        <v>93.333333333333314</v>
      </c>
      <c r="C9" s="25">
        <v>17.7</v>
      </c>
      <c r="D9" s="25">
        <v>13.535714285714286</v>
      </c>
      <c r="E9" s="25">
        <v>2.4398555719999999</v>
      </c>
      <c r="F9" s="45">
        <v>30.920200700966667</v>
      </c>
      <c r="G9" s="26">
        <f t="shared" si="0"/>
        <v>125.84521685293434</v>
      </c>
    </row>
    <row r="10" spans="1:7" x14ac:dyDescent="0.25">
      <c r="A10" s="46">
        <v>6</v>
      </c>
      <c r="B10" s="24">
        <v>63.33333333333335</v>
      </c>
      <c r="C10" s="25">
        <v>15.068421052631576</v>
      </c>
      <c r="D10" s="25">
        <v>10.526315789473685</v>
      </c>
      <c r="E10" s="25">
        <v>1.2084609460000002</v>
      </c>
      <c r="F10" s="45">
        <v>42.512092759666665</v>
      </c>
      <c r="G10" s="26">
        <f t="shared" si="0"/>
        <v>173.02421753184333</v>
      </c>
    </row>
    <row r="11" spans="1:7" x14ac:dyDescent="0.25">
      <c r="A11" s="49" t="s">
        <v>13</v>
      </c>
      <c r="B11" s="28">
        <v>356.6666666666664</v>
      </c>
      <c r="C11" s="29">
        <v>17.633644859813085</v>
      </c>
      <c r="D11" s="29">
        <v>12.514018691588785</v>
      </c>
      <c r="E11" s="29">
        <v>9.6127148039999923</v>
      </c>
      <c r="F11" s="48">
        <v>216.61044202776677</v>
      </c>
      <c r="G11" s="69">
        <f t="shared" si="0"/>
        <v>881.60449905301084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A4" sqref="A4:G18"/>
    </sheetView>
  </sheetViews>
  <sheetFormatPr baseColWidth="10" defaultColWidth="11.42578125" defaultRowHeight="15" x14ac:dyDescent="0.25"/>
  <cols>
    <col min="1" max="1" width="23.140625" bestFit="1" customWidth="1"/>
    <col min="2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8" x14ac:dyDescent="0.25">
      <c r="B3" s="3" t="s">
        <v>16</v>
      </c>
    </row>
    <row r="4" spans="1:8" ht="45" x14ac:dyDescent="0.25">
      <c r="A4" s="47" t="s">
        <v>34</v>
      </c>
      <c r="B4" s="27" t="s">
        <v>15</v>
      </c>
      <c r="C4" s="27" t="s">
        <v>17</v>
      </c>
      <c r="D4" s="27" t="s">
        <v>18</v>
      </c>
      <c r="E4" s="27" t="s">
        <v>19</v>
      </c>
      <c r="F4" s="47" t="s">
        <v>20</v>
      </c>
      <c r="G4" s="31" t="s">
        <v>33</v>
      </c>
    </row>
    <row r="5" spans="1:8" x14ac:dyDescent="0.25">
      <c r="A5" s="43" t="s">
        <v>55</v>
      </c>
      <c r="B5" s="22">
        <v>119.99999999999994</v>
      </c>
      <c r="C5" s="23">
        <v>16.591666666666665</v>
      </c>
      <c r="D5" s="23">
        <v>12.444444444444445</v>
      </c>
      <c r="E5" s="23">
        <v>2.7859787340000004</v>
      </c>
      <c r="F5" s="44">
        <v>35.608211321600002</v>
      </c>
      <c r="G5" s="13">
        <f>F5*4.07</f>
        <v>144.92542007891203</v>
      </c>
    </row>
    <row r="6" spans="1:8" x14ac:dyDescent="0.25">
      <c r="A6" s="5" t="s">
        <v>52</v>
      </c>
      <c r="B6" s="22">
        <v>93.333333333333314</v>
      </c>
      <c r="C6" s="23">
        <v>14.546428571428573</v>
      </c>
      <c r="D6" s="23">
        <v>11.5</v>
      </c>
      <c r="E6" s="23">
        <v>1.6010719340000004</v>
      </c>
      <c r="F6" s="44">
        <v>21.614636374933326</v>
      </c>
      <c r="G6" s="70">
        <f t="shared" ref="G6:G22" si="0">F6*4.07</f>
        <v>87.971570045978638</v>
      </c>
    </row>
    <row r="7" spans="1:8" x14ac:dyDescent="0.25">
      <c r="A7" s="5" t="s">
        <v>53</v>
      </c>
      <c r="B7" s="22">
        <v>26.666666666666664</v>
      </c>
      <c r="C7" s="23">
        <v>23.75</v>
      </c>
      <c r="D7" s="23">
        <v>15.75</v>
      </c>
      <c r="E7" s="23">
        <v>1.1849068</v>
      </c>
      <c r="F7" s="44">
        <v>13.993574946666669</v>
      </c>
      <c r="G7" s="70">
        <f t="shared" si="0"/>
        <v>56.953850032933346</v>
      </c>
    </row>
    <row r="8" spans="1:8" x14ac:dyDescent="0.25">
      <c r="A8" s="43" t="s">
        <v>60</v>
      </c>
      <c r="B8" s="22">
        <v>6.666666666666667</v>
      </c>
      <c r="C8" s="23">
        <v>12</v>
      </c>
      <c r="D8" s="23">
        <v>9</v>
      </c>
      <c r="E8" s="23">
        <v>7.7492800000000014E-2</v>
      </c>
      <c r="F8" s="44">
        <v>0.35577122799999999</v>
      </c>
      <c r="G8" s="13">
        <f t="shared" si="0"/>
        <v>1.4479888979600002</v>
      </c>
    </row>
    <row r="9" spans="1:8" x14ac:dyDescent="0.25">
      <c r="A9" s="5" t="s">
        <v>52</v>
      </c>
      <c r="B9" s="22">
        <v>6.666666666666667</v>
      </c>
      <c r="C9" s="23">
        <v>12</v>
      </c>
      <c r="D9" s="23">
        <v>9</v>
      </c>
      <c r="E9" s="23">
        <v>7.7492800000000014E-2</v>
      </c>
      <c r="F9" s="44">
        <v>0.35577122799999999</v>
      </c>
      <c r="G9" s="70">
        <f t="shared" si="0"/>
        <v>1.4479888979600002</v>
      </c>
    </row>
    <row r="10" spans="1:8" x14ac:dyDescent="0.25">
      <c r="A10" s="43" t="s">
        <v>61</v>
      </c>
      <c r="B10" s="22">
        <v>60.000000000000014</v>
      </c>
      <c r="C10" s="23">
        <v>20.405555555555555</v>
      </c>
      <c r="D10" s="23">
        <v>14.111111111111111</v>
      </c>
      <c r="E10" s="23">
        <v>2.2270985660000004</v>
      </c>
      <c r="F10" s="44">
        <v>126.34023042893337</v>
      </c>
      <c r="G10" s="13">
        <f t="shared" si="0"/>
        <v>514.20473784575881</v>
      </c>
    </row>
    <row r="11" spans="1:8" x14ac:dyDescent="0.25">
      <c r="A11" s="5" t="s">
        <v>52</v>
      </c>
      <c r="B11" s="22">
        <v>29.999999999999996</v>
      </c>
      <c r="C11" s="23">
        <v>15.333333333333334</v>
      </c>
      <c r="D11" s="23">
        <v>13</v>
      </c>
      <c r="E11" s="23">
        <v>0.56862960000000007</v>
      </c>
      <c r="F11" s="44">
        <v>28.276114437333337</v>
      </c>
      <c r="G11" s="70">
        <f t="shared" si="0"/>
        <v>115.08378575994669</v>
      </c>
      <c r="H11" s="51"/>
    </row>
    <row r="12" spans="1:8" x14ac:dyDescent="0.25">
      <c r="A12" s="5" t="s">
        <v>53</v>
      </c>
      <c r="B12" s="22">
        <v>23.333333333333332</v>
      </c>
      <c r="C12" s="23">
        <v>21.728571428571428</v>
      </c>
      <c r="D12" s="23">
        <v>14.285714285714286</v>
      </c>
      <c r="E12" s="23">
        <v>0.87824213400000006</v>
      </c>
      <c r="F12" s="44">
        <v>45.488629662533342</v>
      </c>
      <c r="G12" s="70">
        <f t="shared" si="0"/>
        <v>185.13872272651071</v>
      </c>
      <c r="H12" s="51"/>
    </row>
    <row r="13" spans="1:8" x14ac:dyDescent="0.25">
      <c r="A13" s="5" t="s">
        <v>62</v>
      </c>
      <c r="B13" s="22">
        <v>6.666666666666667</v>
      </c>
      <c r="C13" s="23">
        <v>38.6</v>
      </c>
      <c r="D13" s="23">
        <v>18.5</v>
      </c>
      <c r="E13" s="23">
        <v>0.78022683200000009</v>
      </c>
      <c r="F13" s="44">
        <v>52.575486329066678</v>
      </c>
      <c r="G13" s="70">
        <f t="shared" si="0"/>
        <v>213.98222935930139</v>
      </c>
      <c r="H13" s="51"/>
    </row>
    <row r="14" spans="1:8" x14ac:dyDescent="0.25">
      <c r="A14" s="43" t="s">
        <v>65</v>
      </c>
      <c r="B14" s="22">
        <v>170.00000000000006</v>
      </c>
      <c r="C14" s="23">
        <v>17.611764705882354</v>
      </c>
      <c r="D14" s="23">
        <v>12.137254901960784</v>
      </c>
      <c r="E14" s="23">
        <v>4.5221447040000013</v>
      </c>
      <c r="F14" s="44">
        <v>54.30622904923333</v>
      </c>
      <c r="G14" s="70">
        <f t="shared" si="0"/>
        <v>221.02635223037967</v>
      </c>
      <c r="H14" s="51"/>
    </row>
    <row r="15" spans="1:8" x14ac:dyDescent="0.25">
      <c r="A15" s="5" t="s">
        <v>52</v>
      </c>
      <c r="B15" s="22">
        <v>126.6666666666666</v>
      </c>
      <c r="C15" s="23">
        <v>15.197368421052632</v>
      </c>
      <c r="D15" s="23">
        <v>11.210526315789474</v>
      </c>
      <c r="E15" s="23">
        <v>2.3755182220000006</v>
      </c>
      <c r="F15" s="44">
        <v>30.067599349666668</v>
      </c>
      <c r="G15" s="13">
        <f t="shared" si="0"/>
        <v>122.37512935314335</v>
      </c>
      <c r="H15" s="51"/>
    </row>
    <row r="16" spans="1:8" x14ac:dyDescent="0.25">
      <c r="A16" s="5" t="s">
        <v>53</v>
      </c>
      <c r="B16" s="22">
        <v>40</v>
      </c>
      <c r="C16" s="23">
        <v>23.724999999999998</v>
      </c>
      <c r="D16" s="23">
        <v>14.666666666666666</v>
      </c>
      <c r="E16" s="23">
        <v>1.8073336820000001</v>
      </c>
      <c r="F16" s="44">
        <v>20.462618919566669</v>
      </c>
      <c r="G16" s="70">
        <f t="shared" si="0"/>
        <v>83.282859002636343</v>
      </c>
    </row>
    <row r="17" spans="1:7" x14ac:dyDescent="0.25">
      <c r="A17" s="5" t="s">
        <v>62</v>
      </c>
      <c r="B17" s="22">
        <v>3.3333333333333335</v>
      </c>
      <c r="C17" s="23">
        <v>36</v>
      </c>
      <c r="D17" s="23">
        <v>17</v>
      </c>
      <c r="E17" s="23">
        <v>0.33929280000000001</v>
      </c>
      <c r="F17" s="44">
        <v>3.7760107800000005</v>
      </c>
      <c r="G17" s="70">
        <f t="shared" si="0"/>
        <v>15.368363874600004</v>
      </c>
    </row>
    <row r="18" spans="1:7" x14ac:dyDescent="0.25">
      <c r="A18" s="50" t="s">
        <v>13</v>
      </c>
      <c r="B18" s="41">
        <v>356.6666666666664</v>
      </c>
      <c r="C18" s="42">
        <v>17.633644859813085</v>
      </c>
      <c r="D18" s="42">
        <v>12.514018691588785</v>
      </c>
      <c r="E18" s="42">
        <v>9.6127148039999959</v>
      </c>
      <c r="F18" s="66">
        <v>216.61044202776674</v>
      </c>
      <c r="G18" s="72">
        <f t="shared" si="0"/>
        <v>881.60449905301073</v>
      </c>
    </row>
    <row r="19" spans="1:7" x14ac:dyDescent="0.25">
      <c r="G19" s="30">
        <f t="shared" si="0"/>
        <v>0</v>
      </c>
    </row>
    <row r="20" spans="1:7" x14ac:dyDescent="0.25">
      <c r="G20" s="13">
        <f t="shared" si="0"/>
        <v>0</v>
      </c>
    </row>
    <row r="21" spans="1:7" x14ac:dyDescent="0.25">
      <c r="G21" s="13">
        <f t="shared" si="0"/>
        <v>0</v>
      </c>
    </row>
    <row r="22" spans="1:7" x14ac:dyDescent="0.25">
      <c r="G22" s="13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B3" sqref="B3:F16"/>
    </sheetView>
  </sheetViews>
  <sheetFormatPr baseColWidth="10" defaultColWidth="11.42578125" defaultRowHeight="15" x14ac:dyDescent="0.25"/>
  <cols>
    <col min="5" max="5" width="21.140625" customWidth="1"/>
    <col min="6" max="6" width="12.85546875" customWidth="1"/>
  </cols>
  <sheetData>
    <row r="3" spans="2:6" x14ac:dyDescent="0.25">
      <c r="B3" s="95" t="s">
        <v>35</v>
      </c>
      <c r="C3" s="95"/>
      <c r="D3" s="32" t="s">
        <v>36</v>
      </c>
      <c r="E3" s="32" t="s">
        <v>37</v>
      </c>
      <c r="F3" s="33" t="s">
        <v>38</v>
      </c>
    </row>
    <row r="4" spans="2:6" x14ac:dyDescent="0.25">
      <c r="B4" s="95"/>
      <c r="C4" s="95"/>
      <c r="D4" s="34">
        <v>4.07</v>
      </c>
      <c r="E4" s="34">
        <v>2.0150000000000001</v>
      </c>
      <c r="F4" s="34">
        <v>6</v>
      </c>
    </row>
    <row r="5" spans="2:6" x14ac:dyDescent="0.25">
      <c r="B5" s="32" t="s">
        <v>39</v>
      </c>
      <c r="C5" s="32" t="s">
        <v>40</v>
      </c>
      <c r="D5" s="32" t="s">
        <v>41</v>
      </c>
      <c r="E5" s="32" t="s">
        <v>42</v>
      </c>
      <c r="F5" s="32" t="s">
        <v>43</v>
      </c>
    </row>
    <row r="6" spans="2:6" x14ac:dyDescent="0.25">
      <c r="B6" s="32">
        <v>1</v>
      </c>
      <c r="C6" s="45">
        <v>41.508577594666669</v>
      </c>
      <c r="D6" s="35">
        <f>C6*C6</f>
        <v>1722.9620139324638</v>
      </c>
      <c r="E6" s="32" t="s">
        <v>44</v>
      </c>
      <c r="F6" s="36">
        <f>C16/F4</f>
        <v>36.101740337961111</v>
      </c>
    </row>
    <row r="7" spans="2:6" x14ac:dyDescent="0.25">
      <c r="B7" s="32">
        <v>2</v>
      </c>
      <c r="C7" s="45">
        <v>38.798568123600006</v>
      </c>
      <c r="D7" s="35">
        <f>C7*C7</f>
        <v>1505.3288884416304</v>
      </c>
      <c r="E7" s="32" t="s">
        <v>45</v>
      </c>
      <c r="F7" s="37">
        <f>(((D16)-((C16*C16)/F4))/(F4-1))</f>
        <v>33.829009327127643</v>
      </c>
    </row>
    <row r="8" spans="2:6" x14ac:dyDescent="0.25">
      <c r="B8" s="32">
        <v>3</v>
      </c>
      <c r="C8" s="45">
        <v>28.183599286200003</v>
      </c>
      <c r="D8" s="35">
        <f>C8*C8</f>
        <v>794.31526872509335</v>
      </c>
      <c r="E8" s="32" t="s">
        <v>46</v>
      </c>
      <c r="F8" s="37">
        <f>SQRT(F7)</f>
        <v>5.8162710843914116</v>
      </c>
    </row>
    <row r="9" spans="2:6" x14ac:dyDescent="0.25">
      <c r="B9" s="32">
        <v>4</v>
      </c>
      <c r="C9" s="45">
        <v>34.687403562666674</v>
      </c>
      <c r="D9" s="35">
        <f t="shared" ref="D9:D15" si="0">C9*C9</f>
        <v>1203.2159659193007</v>
      </c>
      <c r="E9" s="32" t="s">
        <v>47</v>
      </c>
      <c r="F9" s="37">
        <f>SQRT(((F7)/F4)*(1-((F4)/(D4*10))))</f>
        <v>2.192484579384955</v>
      </c>
    </row>
    <row r="10" spans="2:6" x14ac:dyDescent="0.25">
      <c r="B10" s="54">
        <v>5</v>
      </c>
      <c r="C10" s="45">
        <v>30.920200700966667</v>
      </c>
      <c r="D10" s="35">
        <f t="shared" si="0"/>
        <v>956.05881138805955</v>
      </c>
      <c r="E10" s="32" t="s">
        <v>48</v>
      </c>
      <c r="F10" s="37">
        <f>F9*E4</f>
        <v>4.4178564274606842</v>
      </c>
    </row>
    <row r="11" spans="2:6" x14ac:dyDescent="0.25">
      <c r="B11" s="54">
        <v>6</v>
      </c>
      <c r="C11" s="45">
        <v>42.512092759666665</v>
      </c>
      <c r="D11" s="35">
        <f t="shared" si="0"/>
        <v>1807.2780308065028</v>
      </c>
      <c r="E11" s="32" t="s">
        <v>48</v>
      </c>
      <c r="F11" s="39">
        <f>((F10)/F6)</f>
        <v>0.12237239496222546</v>
      </c>
    </row>
    <row r="12" spans="2:6" x14ac:dyDescent="0.25">
      <c r="B12" s="32"/>
      <c r="C12" s="38"/>
      <c r="D12" s="35">
        <f t="shared" si="0"/>
        <v>0</v>
      </c>
      <c r="E12" s="32" t="s">
        <v>49</v>
      </c>
      <c r="F12" s="37">
        <f>F6+F10</f>
        <v>40.519596765421795</v>
      </c>
    </row>
    <row r="13" spans="2:6" x14ac:dyDescent="0.25">
      <c r="B13" s="32"/>
      <c r="C13" s="38"/>
      <c r="D13" s="35">
        <f t="shared" si="0"/>
        <v>0</v>
      </c>
      <c r="E13" s="32" t="s">
        <v>50</v>
      </c>
      <c r="F13" s="37">
        <f>F6-F10</f>
        <v>31.683883910500427</v>
      </c>
    </row>
    <row r="14" spans="2:6" x14ac:dyDescent="0.25">
      <c r="B14" s="32"/>
      <c r="C14" s="38"/>
      <c r="D14" s="35">
        <f t="shared" si="0"/>
        <v>0</v>
      </c>
      <c r="E14" s="32"/>
      <c r="F14" s="37"/>
    </row>
    <row r="15" spans="2:6" x14ac:dyDescent="0.25">
      <c r="B15" s="32"/>
      <c r="C15" s="38"/>
      <c r="D15" s="35">
        <f t="shared" si="0"/>
        <v>0</v>
      </c>
      <c r="E15" s="32"/>
      <c r="F15" s="37"/>
    </row>
    <row r="16" spans="2:6" x14ac:dyDescent="0.25">
      <c r="B16" s="32" t="s">
        <v>51</v>
      </c>
      <c r="C16" s="40">
        <f>SUM(C6:C15)</f>
        <v>216.61044202776668</v>
      </c>
      <c r="D16" s="40">
        <f>SUM(D6:D15)</f>
        <v>7989.1589792130499</v>
      </c>
      <c r="E16" s="32"/>
      <c r="F16" s="32"/>
    </row>
  </sheetData>
  <mergeCells count="1">
    <mergeCell ref="B3:C4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ColWidth="11.42578125" defaultRowHeight="15" x14ac:dyDescent="0.25"/>
  <sheetData>
    <row r="1" spans="1:3" x14ac:dyDescent="0.25">
      <c r="A1" s="78" t="s">
        <v>21</v>
      </c>
      <c r="B1" s="78" t="s">
        <v>66</v>
      </c>
      <c r="C1" s="78" t="s">
        <v>67</v>
      </c>
    </row>
    <row r="2" spans="1:3" x14ac:dyDescent="0.25">
      <c r="A2" s="78">
        <v>1</v>
      </c>
      <c r="B2" s="78">
        <v>400373</v>
      </c>
      <c r="C2" s="78">
        <v>1722660</v>
      </c>
    </row>
    <row r="3" spans="1:3" x14ac:dyDescent="0.25">
      <c r="A3" s="78">
        <v>2</v>
      </c>
      <c r="B3" s="79">
        <v>400379</v>
      </c>
      <c r="C3" s="78">
        <v>1722734</v>
      </c>
    </row>
    <row r="4" spans="1:3" x14ac:dyDescent="0.25">
      <c r="A4" s="78">
        <v>3</v>
      </c>
      <c r="B4" s="79">
        <v>400446</v>
      </c>
      <c r="C4" s="78">
        <v>1722734</v>
      </c>
    </row>
    <row r="5" spans="1:3" x14ac:dyDescent="0.25">
      <c r="A5" s="78">
        <v>4</v>
      </c>
      <c r="B5" s="79">
        <v>400424</v>
      </c>
      <c r="C5" s="78">
        <v>1722786</v>
      </c>
    </row>
    <row r="6" spans="1:3" x14ac:dyDescent="0.25">
      <c r="A6" s="78">
        <v>5</v>
      </c>
      <c r="B6" s="79">
        <v>400640</v>
      </c>
      <c r="C6" s="78">
        <v>1722785</v>
      </c>
    </row>
    <row r="7" spans="1:3" x14ac:dyDescent="0.25">
      <c r="A7" s="78">
        <v>6</v>
      </c>
      <c r="B7" s="79">
        <v>400635</v>
      </c>
      <c r="C7" s="78">
        <v>1722712</v>
      </c>
    </row>
    <row r="8" spans="1:3" x14ac:dyDescent="0.25">
      <c r="A8" s="78">
        <v>7</v>
      </c>
      <c r="B8" s="79">
        <v>400642</v>
      </c>
      <c r="C8" s="78">
        <v>1722725</v>
      </c>
    </row>
    <row r="9" spans="1:3" x14ac:dyDescent="0.25">
      <c r="A9" s="78">
        <v>8</v>
      </c>
      <c r="B9" s="80">
        <v>400658</v>
      </c>
      <c r="C9" s="81">
        <v>1722665</v>
      </c>
    </row>
    <row r="10" spans="1:3" x14ac:dyDescent="0.25">
      <c r="A10" s="78">
        <v>9</v>
      </c>
      <c r="B10" s="80">
        <v>400673</v>
      </c>
      <c r="C10" s="81">
        <v>1722665</v>
      </c>
    </row>
    <row r="11" spans="1:3" x14ac:dyDescent="0.25">
      <c r="A11" s="78">
        <v>10</v>
      </c>
      <c r="B11" s="81">
        <v>400671</v>
      </c>
      <c r="C11" s="81">
        <v>1722622</v>
      </c>
    </row>
    <row r="12" spans="1:3" x14ac:dyDescent="0.25">
      <c r="A12" s="78">
        <v>11</v>
      </c>
      <c r="B12" s="81">
        <v>400690</v>
      </c>
      <c r="C12" s="81">
        <v>1722629</v>
      </c>
    </row>
    <row r="13" spans="1:3" x14ac:dyDescent="0.25">
      <c r="A13" s="78">
        <v>12</v>
      </c>
      <c r="B13" s="80">
        <v>400691</v>
      </c>
      <c r="C13" s="80">
        <v>1722593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3" sqref="E3:E7"/>
    </sheetView>
  </sheetViews>
  <sheetFormatPr baseColWidth="10" defaultColWidth="11.42578125" defaultRowHeight="15" x14ac:dyDescent="0.25"/>
  <cols>
    <col min="1" max="1" width="11.42578125" style="1"/>
    <col min="5" max="5" width="20.85546875" customWidth="1"/>
    <col min="6" max="6" width="13.42578125" bestFit="1" customWidth="1"/>
    <col min="7" max="7" width="19.7109375" bestFit="1" customWidth="1"/>
  </cols>
  <sheetData>
    <row r="1" spans="1:11" x14ac:dyDescent="0.25">
      <c r="A1" s="85" t="s">
        <v>71</v>
      </c>
      <c r="B1" s="82" t="s">
        <v>21</v>
      </c>
      <c r="C1" s="82" t="s">
        <v>66</v>
      </c>
      <c r="D1" s="82" t="s">
        <v>67</v>
      </c>
      <c r="E1" s="83" t="s">
        <v>70</v>
      </c>
      <c r="F1" s="85" t="s">
        <v>72</v>
      </c>
      <c r="G1" s="86" t="s">
        <v>73</v>
      </c>
      <c r="H1" s="85" t="s">
        <v>74</v>
      </c>
      <c r="I1" s="85" t="s">
        <v>75</v>
      </c>
      <c r="J1" s="85" t="s">
        <v>76</v>
      </c>
      <c r="K1" s="83" t="s">
        <v>68</v>
      </c>
    </row>
    <row r="2" spans="1:11" x14ac:dyDescent="0.25">
      <c r="A2" s="87" t="s">
        <v>77</v>
      </c>
      <c r="B2" s="82">
        <v>1</v>
      </c>
      <c r="C2" s="83">
        <v>400414</v>
      </c>
      <c r="D2" s="82">
        <v>1722699</v>
      </c>
      <c r="E2" s="83">
        <f>500/10000</f>
        <v>0.05</v>
      </c>
      <c r="G2" s="88">
        <v>41306</v>
      </c>
      <c r="K2" t="s">
        <v>69</v>
      </c>
    </row>
    <row r="3" spans="1:11" x14ac:dyDescent="0.25">
      <c r="A3" s="87" t="s">
        <v>77</v>
      </c>
      <c r="B3" s="82">
        <v>2</v>
      </c>
      <c r="C3" s="83">
        <v>400438</v>
      </c>
      <c r="D3" s="82">
        <v>1722698</v>
      </c>
      <c r="E3" s="83">
        <f t="shared" ref="E3:E7" si="0">500/10000</f>
        <v>0.05</v>
      </c>
      <c r="G3" s="88">
        <v>41306</v>
      </c>
      <c r="K3" s="1" t="s">
        <v>69</v>
      </c>
    </row>
    <row r="4" spans="1:11" x14ac:dyDescent="0.25">
      <c r="A4" s="87" t="s">
        <v>77</v>
      </c>
      <c r="B4" s="82">
        <v>3</v>
      </c>
      <c r="C4" s="83">
        <v>400516</v>
      </c>
      <c r="D4" s="82">
        <v>1722742</v>
      </c>
      <c r="E4" s="83">
        <f t="shared" si="0"/>
        <v>0.05</v>
      </c>
      <c r="G4" s="88">
        <v>41306</v>
      </c>
      <c r="K4" s="1" t="s">
        <v>69</v>
      </c>
    </row>
    <row r="5" spans="1:11" x14ac:dyDescent="0.25">
      <c r="A5" s="87" t="s">
        <v>77</v>
      </c>
      <c r="B5" s="82">
        <v>4</v>
      </c>
      <c r="C5" s="83">
        <v>400509</v>
      </c>
      <c r="D5" s="82">
        <v>1722689</v>
      </c>
      <c r="E5" s="83">
        <f t="shared" si="0"/>
        <v>0.05</v>
      </c>
      <c r="G5" s="88">
        <v>41306</v>
      </c>
      <c r="K5" s="1" t="s">
        <v>69</v>
      </c>
    </row>
    <row r="6" spans="1:11" x14ac:dyDescent="0.25">
      <c r="A6" s="87" t="s">
        <v>77</v>
      </c>
      <c r="B6" s="84">
        <v>5</v>
      </c>
      <c r="C6" s="83">
        <v>400555</v>
      </c>
      <c r="D6" s="82">
        <v>1722675</v>
      </c>
      <c r="E6" s="83">
        <f t="shared" si="0"/>
        <v>0.05</v>
      </c>
      <c r="G6" s="88">
        <v>41306</v>
      </c>
      <c r="K6" s="1" t="s">
        <v>69</v>
      </c>
    </row>
    <row r="7" spans="1:11" x14ac:dyDescent="0.25">
      <c r="A7" s="87" t="s">
        <v>77</v>
      </c>
      <c r="B7" s="84">
        <v>6</v>
      </c>
      <c r="C7" s="83">
        <v>400579</v>
      </c>
      <c r="D7" s="82">
        <v>1722737</v>
      </c>
      <c r="E7" s="83">
        <f t="shared" si="0"/>
        <v>0.05</v>
      </c>
      <c r="G7" s="88">
        <v>41306</v>
      </c>
      <c r="K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datos</vt:lpstr>
      <vt:lpstr>% de abundancia</vt:lpstr>
      <vt:lpstr>cuadro 3</vt:lpstr>
      <vt:lpstr>anexo 2</vt:lpstr>
      <vt:lpstr>anexo 3</vt:lpstr>
      <vt:lpstr>analisis</vt:lpstr>
      <vt:lpstr>P. referencia</vt:lpstr>
      <vt:lpstr>Parcelas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DangerGo</cp:lastModifiedBy>
  <cp:lastPrinted>2013-10-30T04:25:04Z</cp:lastPrinted>
  <dcterms:created xsi:type="dcterms:W3CDTF">2013-02-20T15:36:32Z</dcterms:created>
  <dcterms:modified xsi:type="dcterms:W3CDTF">2017-03-26T05:56:04Z</dcterms:modified>
</cp:coreProperties>
</file>