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CARBONO_REDD+GT\ASINFOR\HENRY_LOPEZ_IF_2013\"/>
    </mc:Choice>
  </mc:AlternateContent>
  <bookViews>
    <workbookView xWindow="240" yWindow="75" windowWidth="15480" windowHeight="7995"/>
  </bookViews>
  <sheets>
    <sheet name="base de datos" sheetId="1" r:id="rId1"/>
    <sheet name="% de abundancia" sheetId="4" r:id="rId2"/>
    <sheet name="cuadro 3" sheetId="5" r:id="rId3"/>
    <sheet name="anexo 2" sheetId="6" r:id="rId4"/>
    <sheet name="anexo 3" sheetId="7" r:id="rId5"/>
    <sheet name="analisis" sheetId="2" r:id="rId6"/>
    <sheet name="P. referencia" sheetId="8" r:id="rId7"/>
    <sheet name="Parcelas" sheetId="9" r:id="rId8"/>
  </sheets>
  <definedNames>
    <definedName name="_xlnm._FilterDatabase" localSheetId="0" hidden="1">'base de datos'!$A$1:$L$85</definedName>
  </definedNames>
  <calcPr calcId="152511"/>
  <pivotCaches>
    <pivotCache cacheId="42" r:id="rId9"/>
  </pivotCaches>
</workbook>
</file>

<file path=xl/calcChain.xml><?xml version="1.0" encoding="utf-8"?>
<calcChain xmlns="http://schemas.openxmlformats.org/spreadsheetml/2006/main">
  <c r="E7" i="9" l="1"/>
  <c r="E6" i="9"/>
  <c r="E5" i="9"/>
  <c r="E4" i="9"/>
  <c r="E3" i="9"/>
  <c r="E2" i="9"/>
  <c r="N8" i="1"/>
  <c r="O3" i="1"/>
  <c r="L2" i="1" l="1"/>
  <c r="G6" i="6"/>
  <c r="G7" i="6"/>
  <c r="G8" i="6"/>
  <c r="G9" i="6"/>
  <c r="G10" i="6"/>
  <c r="G11" i="6"/>
  <c r="J69" i="1"/>
  <c r="J70" i="1"/>
  <c r="J71" i="1"/>
  <c r="H71" i="1"/>
  <c r="H70" i="1"/>
  <c r="H69" i="1"/>
  <c r="G11" i="7"/>
  <c r="G12" i="7"/>
  <c r="G13" i="7"/>
  <c r="G14" i="7"/>
  <c r="G15" i="7"/>
  <c r="G16" i="7"/>
  <c r="G17" i="7"/>
  <c r="G18" i="7"/>
  <c r="G19" i="7"/>
  <c r="G20" i="7"/>
  <c r="G21" i="7"/>
  <c r="G22" i="7"/>
  <c r="G6" i="7"/>
  <c r="G7" i="7"/>
  <c r="G8" i="7"/>
  <c r="G9" i="7"/>
  <c r="G10" i="7"/>
  <c r="G5" i="7"/>
  <c r="G5" i="6"/>
  <c r="D18" i="5"/>
  <c r="D17" i="5"/>
  <c r="D16" i="5"/>
  <c r="D15" i="5"/>
  <c r="D14" i="5"/>
  <c r="J85" i="1"/>
  <c r="J81" i="1"/>
  <c r="J74" i="1"/>
  <c r="J73" i="1"/>
  <c r="J66" i="1"/>
  <c r="J65" i="1"/>
  <c r="J61" i="1"/>
  <c r="J60" i="1"/>
  <c r="J50" i="1"/>
  <c r="J38" i="1"/>
  <c r="J84" i="1"/>
  <c r="J83" i="1"/>
  <c r="J82" i="1"/>
  <c r="J76" i="1"/>
  <c r="J64" i="1"/>
  <c r="J40" i="1"/>
  <c r="J35" i="1"/>
  <c r="J31" i="1"/>
  <c r="J80" i="1"/>
  <c r="J79" i="1"/>
  <c r="J78" i="1"/>
  <c r="J75" i="1"/>
  <c r="J72" i="1"/>
  <c r="J63" i="1"/>
  <c r="J62" i="1"/>
  <c r="J43" i="1"/>
  <c r="J30" i="1"/>
  <c r="J77" i="1"/>
  <c r="J68" i="1"/>
  <c r="J67" i="1"/>
  <c r="J58" i="1"/>
  <c r="J55" i="1"/>
  <c r="J51" i="1"/>
  <c r="J49" i="1"/>
  <c r="J48" i="1"/>
  <c r="J47" i="1"/>
  <c r="J46" i="1"/>
  <c r="J45" i="1"/>
  <c r="J44" i="1"/>
  <c r="J41" i="1"/>
  <c r="J39" i="1"/>
  <c r="J37" i="1"/>
  <c r="J36" i="1"/>
  <c r="J34" i="1"/>
  <c r="J33" i="1"/>
  <c r="J32" i="1"/>
  <c r="J21" i="1"/>
  <c r="J19" i="1"/>
  <c r="J18" i="1"/>
  <c r="J16" i="1"/>
  <c r="J15" i="1"/>
  <c r="J14" i="1"/>
  <c r="J13" i="1"/>
  <c r="J9" i="1"/>
  <c r="J8" i="1"/>
  <c r="J59" i="1"/>
  <c r="J57" i="1"/>
  <c r="J56" i="1"/>
  <c r="J54" i="1"/>
  <c r="J53" i="1"/>
  <c r="J52" i="1"/>
  <c r="J42" i="1"/>
  <c r="J29" i="1"/>
  <c r="J28" i="1"/>
  <c r="J27" i="1"/>
  <c r="J26" i="1"/>
  <c r="J25" i="1"/>
  <c r="J24" i="1"/>
  <c r="J23" i="1"/>
  <c r="J22" i="1"/>
  <c r="J20" i="1"/>
  <c r="J17" i="1"/>
  <c r="J12" i="1"/>
  <c r="J11" i="1"/>
  <c r="J10" i="1"/>
  <c r="J7" i="1"/>
  <c r="J6" i="1"/>
  <c r="J5" i="1"/>
  <c r="J4" i="1"/>
  <c r="J3" i="1"/>
  <c r="J2" i="1"/>
  <c r="D24" i="4"/>
  <c r="D23" i="4"/>
  <c r="D22" i="4"/>
  <c r="D21" i="4"/>
  <c r="D20" i="4"/>
  <c r="C24" i="4"/>
  <c r="C23" i="4"/>
  <c r="C22" i="4"/>
  <c r="C21" i="4"/>
  <c r="C20" i="4"/>
  <c r="H64" i="1"/>
  <c r="H65" i="1"/>
  <c r="H66" i="1"/>
  <c r="H67" i="1"/>
  <c r="H68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I14" i="5"/>
  <c r="H17" i="5"/>
  <c r="F18" i="5"/>
  <c r="E24" i="4"/>
  <c r="G14" i="5"/>
  <c r="E23" i="4"/>
  <c r="E20" i="4"/>
  <c r="E18" i="5"/>
  <c r="F16" i="5"/>
  <c r="G16" i="5"/>
  <c r="G18" i="5"/>
  <c r="F14" i="5"/>
  <c r="F17" i="5"/>
  <c r="E16" i="5"/>
  <c r="F15" i="5"/>
  <c r="H14" i="5"/>
  <c r="H18" i="5"/>
  <c r="E21" i="4"/>
  <c r="I17" i="5"/>
  <c r="H16" i="5"/>
  <c r="G15" i="5"/>
  <c r="I18" i="5"/>
  <c r="I16" i="5"/>
  <c r="G17" i="5"/>
  <c r="E17" i="5"/>
  <c r="E14" i="5"/>
  <c r="H15" i="5"/>
  <c r="E15" i="5"/>
  <c r="E22" i="4"/>
  <c r="I15" i="5"/>
  <c r="J15" i="5" l="1"/>
  <c r="J16" i="5"/>
  <c r="J17" i="5"/>
  <c r="J18" i="5"/>
  <c r="E25" i="4"/>
  <c r="F20" i="4" s="1"/>
  <c r="H3" i="1"/>
  <c r="K54" i="1"/>
  <c r="K59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30" i="1"/>
  <c r="H29" i="1"/>
  <c r="K10" i="4"/>
  <c r="L7" i="5"/>
  <c r="C16" i="2"/>
  <c r="F6" i="2" s="1"/>
  <c r="D15" i="2"/>
  <c r="D14" i="2"/>
  <c r="D13" i="2"/>
  <c r="D12" i="2"/>
  <c r="D11" i="2"/>
  <c r="D10" i="2"/>
  <c r="D9" i="2"/>
  <c r="D8" i="2"/>
  <c r="D7" i="2"/>
  <c r="D6" i="2"/>
  <c r="H4" i="1"/>
  <c r="H5" i="1"/>
  <c r="I5" i="1" s="1"/>
  <c r="H6" i="1"/>
  <c r="H7" i="1"/>
  <c r="I7" i="1" s="1"/>
  <c r="H8" i="1"/>
  <c r="H9" i="1"/>
  <c r="I9" i="1" s="1"/>
  <c r="H10" i="1"/>
  <c r="H11" i="1"/>
  <c r="I11" i="1" s="1"/>
  <c r="H12" i="1"/>
  <c r="H13" i="1"/>
  <c r="I13" i="1" s="1"/>
  <c r="H14" i="1"/>
  <c r="H15" i="1"/>
  <c r="I15" i="1" s="1"/>
  <c r="H16" i="1"/>
  <c r="H17" i="1"/>
  <c r="I17" i="1" s="1"/>
  <c r="H18" i="1"/>
  <c r="H19" i="1"/>
  <c r="I19" i="1" s="1"/>
  <c r="H20" i="1"/>
  <c r="H21" i="1"/>
  <c r="I21" i="1" s="1"/>
  <c r="H22" i="1"/>
  <c r="H23" i="1"/>
  <c r="I23" i="1" s="1"/>
  <c r="H24" i="1"/>
  <c r="H25" i="1"/>
  <c r="I25" i="1" s="1"/>
  <c r="H26" i="1"/>
  <c r="H27" i="1"/>
  <c r="I27" i="1" s="1"/>
  <c r="H28" i="1"/>
  <c r="H31" i="1"/>
  <c r="I31" i="1" s="1"/>
  <c r="H32" i="1"/>
  <c r="H33" i="1"/>
  <c r="I33" i="1" s="1"/>
  <c r="H34" i="1"/>
  <c r="H35" i="1"/>
  <c r="I35" i="1" s="1"/>
  <c r="H36" i="1"/>
  <c r="H37" i="1"/>
  <c r="I37" i="1" s="1"/>
  <c r="H38" i="1"/>
  <c r="H39" i="1"/>
  <c r="I39" i="1" s="1"/>
  <c r="H40" i="1"/>
  <c r="H41" i="1"/>
  <c r="I41" i="1" s="1"/>
  <c r="H42" i="1"/>
  <c r="H43" i="1"/>
  <c r="I43" i="1" s="1"/>
  <c r="H44" i="1"/>
  <c r="H45" i="1"/>
  <c r="I45" i="1" s="1"/>
  <c r="H46" i="1"/>
  <c r="H47" i="1"/>
  <c r="I47" i="1" s="1"/>
  <c r="H48" i="1"/>
  <c r="H49" i="1"/>
  <c r="I49" i="1" s="1"/>
  <c r="H2" i="1"/>
  <c r="I19" i="5"/>
  <c r="G19" i="5"/>
  <c r="H19" i="5"/>
  <c r="F19" i="5"/>
  <c r="K55" i="1" l="1"/>
  <c r="L70" i="1"/>
  <c r="L69" i="1"/>
  <c r="L71" i="1"/>
  <c r="K71" i="1"/>
  <c r="I71" i="1"/>
  <c r="K70" i="1"/>
  <c r="K69" i="1"/>
  <c r="I70" i="1"/>
  <c r="I69" i="1"/>
  <c r="D16" i="2"/>
  <c r="J19" i="5"/>
  <c r="F23" i="4"/>
  <c r="F21" i="4"/>
  <c r="F24" i="4"/>
  <c r="F22" i="4"/>
  <c r="L4" i="1"/>
  <c r="L64" i="1"/>
  <c r="L66" i="1"/>
  <c r="L68" i="1"/>
  <c r="L73" i="1"/>
  <c r="L75" i="1"/>
  <c r="L77" i="1"/>
  <c r="L79" i="1"/>
  <c r="L81" i="1"/>
  <c r="L83" i="1"/>
  <c r="L85" i="1"/>
  <c r="L65" i="1"/>
  <c r="L67" i="1"/>
  <c r="L72" i="1"/>
  <c r="L74" i="1"/>
  <c r="L76" i="1"/>
  <c r="L78" i="1"/>
  <c r="L80" i="1"/>
  <c r="L82" i="1"/>
  <c r="L84" i="1"/>
  <c r="K66" i="1"/>
  <c r="K73" i="1"/>
  <c r="K77" i="1"/>
  <c r="K81" i="1"/>
  <c r="K85" i="1"/>
  <c r="I67" i="1"/>
  <c r="I74" i="1"/>
  <c r="I78" i="1"/>
  <c r="I82" i="1"/>
  <c r="K65" i="1"/>
  <c r="K72" i="1"/>
  <c r="K76" i="1"/>
  <c r="K80" i="1"/>
  <c r="K84" i="1"/>
  <c r="I66" i="1"/>
  <c r="I73" i="1"/>
  <c r="I77" i="1"/>
  <c r="I81" i="1"/>
  <c r="I85" i="1"/>
  <c r="K64" i="1"/>
  <c r="K68" i="1"/>
  <c r="K75" i="1"/>
  <c r="K79" i="1"/>
  <c r="K83" i="1"/>
  <c r="I65" i="1"/>
  <c r="I72" i="1"/>
  <c r="I76" i="1"/>
  <c r="I80" i="1"/>
  <c r="I84" i="1"/>
  <c r="K67" i="1"/>
  <c r="K74" i="1"/>
  <c r="K78" i="1"/>
  <c r="K82" i="1"/>
  <c r="I64" i="1"/>
  <c r="I68" i="1"/>
  <c r="I75" i="1"/>
  <c r="I79" i="1"/>
  <c r="I8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6" i="1"/>
  <c r="K58" i="1"/>
  <c r="K61" i="1"/>
  <c r="K6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60" i="1"/>
  <c r="K62" i="1"/>
  <c r="K2" i="1"/>
  <c r="I30" i="1"/>
  <c r="I51" i="1"/>
  <c r="I53" i="1"/>
  <c r="I55" i="1"/>
  <c r="I57" i="1"/>
  <c r="I59" i="1"/>
  <c r="I61" i="1"/>
  <c r="I63" i="1"/>
  <c r="I2" i="1"/>
  <c r="I48" i="1"/>
  <c r="I46" i="1"/>
  <c r="I44" i="1"/>
  <c r="I42" i="1"/>
  <c r="I40" i="1"/>
  <c r="I38" i="1"/>
  <c r="I36" i="1"/>
  <c r="I34" i="1"/>
  <c r="I32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29" i="1"/>
  <c r="I50" i="1"/>
  <c r="I52" i="1"/>
  <c r="I54" i="1"/>
  <c r="I56" i="1"/>
  <c r="I58" i="1"/>
  <c r="I60" i="1"/>
  <c r="I62" i="1"/>
  <c r="I3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30" i="1"/>
  <c r="L28" i="1"/>
  <c r="L26" i="1"/>
  <c r="L24" i="1"/>
  <c r="L22" i="1"/>
  <c r="L20" i="1"/>
  <c r="L18" i="1"/>
  <c r="L16" i="1"/>
  <c r="L14" i="1"/>
  <c r="L11" i="1"/>
  <c r="L9" i="1"/>
  <c r="L7" i="1"/>
  <c r="L5" i="1"/>
  <c r="L3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29" i="1"/>
  <c r="L27" i="1"/>
  <c r="L25" i="1"/>
  <c r="L23" i="1"/>
  <c r="L21" i="1"/>
  <c r="L19" i="1"/>
  <c r="L17" i="1"/>
  <c r="L15" i="1"/>
  <c r="L13" i="1"/>
  <c r="L12" i="1"/>
  <c r="L10" i="1"/>
  <c r="L8" i="1"/>
  <c r="L6" i="1"/>
  <c r="F7" i="2"/>
  <c r="F9" i="2" s="1"/>
  <c r="F10" i="2" s="1"/>
  <c r="F11" i="2" s="1"/>
  <c r="E19" i="5"/>
  <c r="J14" i="5"/>
  <c r="F25" i="4" l="1"/>
  <c r="F8" i="2"/>
  <c r="F13" i="2"/>
  <c r="F12" i="2"/>
</calcChain>
</file>

<file path=xl/sharedStrings.xml><?xml version="1.0" encoding="utf-8"?>
<sst xmlns="http://schemas.openxmlformats.org/spreadsheetml/2006/main" count="389" uniqueCount="81">
  <si>
    <t>Parcela</t>
  </si>
  <si>
    <t>No. Arbol</t>
  </si>
  <si>
    <t>Nombre común</t>
  </si>
  <si>
    <t>Especie</t>
  </si>
  <si>
    <t>Clase diámetrica</t>
  </si>
  <si>
    <t>DAP (cm)</t>
  </si>
  <si>
    <t>Altura (m)</t>
  </si>
  <si>
    <t>Area Basal (m2)</t>
  </si>
  <si>
    <t>AB/Ha.</t>
  </si>
  <si>
    <t>Volumen (m3)</t>
  </si>
  <si>
    <t>Volumen/Ha.</t>
  </si>
  <si>
    <t>Densidad/Ha.</t>
  </si>
  <si>
    <t>Rótulos de fila</t>
  </si>
  <si>
    <t>Total general</t>
  </si>
  <si>
    <t>Cuenta de No. Arbol</t>
  </si>
  <si>
    <t>Suma de Densidad/Ha.</t>
  </si>
  <si>
    <t>Valores</t>
  </si>
  <si>
    <t>Promedio de DAP (cm)</t>
  </si>
  <si>
    <t>Promedio de Altura (m)</t>
  </si>
  <si>
    <t>Suma de AB/Ha.</t>
  </si>
  <si>
    <t>Suma de Volumen/Ha.</t>
  </si>
  <si>
    <t>No.</t>
  </si>
  <si>
    <t>NOMBRE COMUN</t>
  </si>
  <si>
    <t>ESPECIE</t>
  </si>
  <si>
    <t>PRESENCIA</t>
  </si>
  <si>
    <t>% DE ABUNDANCIA</t>
  </si>
  <si>
    <t>Total General</t>
  </si>
  <si>
    <t>Rodal</t>
  </si>
  <si>
    <t>Área (has)</t>
  </si>
  <si>
    <r>
      <t>Volumen m</t>
    </r>
    <r>
      <rPr>
        <b/>
        <sz val="11"/>
        <color theme="1"/>
        <rFont val="Calibri"/>
        <family val="2"/>
      </rPr>
      <t>³</t>
    </r>
  </si>
  <si>
    <t>Ha.</t>
  </si>
  <si>
    <t>Volumen/ Rodal</t>
  </si>
  <si>
    <t>No. De Parcela</t>
  </si>
  <si>
    <t>Volumen Total</t>
  </si>
  <si>
    <t>Especie y Clase Diametrica</t>
  </si>
  <si>
    <t>ANALISIS ESTADISTICO</t>
  </si>
  <si>
    <t>AREA (Ha.)</t>
  </si>
  <si>
    <t>VALOR DE T</t>
  </si>
  <si>
    <t>No. PARCELAS</t>
  </si>
  <si>
    <t>PARCELA</t>
  </si>
  <si>
    <t>VOLUMEN/ha</t>
  </si>
  <si>
    <t>(VOLUMEN)²</t>
  </si>
  <si>
    <t>PARAMETRO</t>
  </si>
  <si>
    <t>RESULTADO</t>
  </si>
  <si>
    <t>MEDIA ARITMETICA</t>
  </si>
  <si>
    <t xml:space="preserve">VARIANZA </t>
  </si>
  <si>
    <t>DESVIACION ESTANDAR</t>
  </si>
  <si>
    <t>ERROR ESTANDAR</t>
  </si>
  <si>
    <t>ERROR DE MUESTREO</t>
  </si>
  <si>
    <t xml:space="preserve">LIMITE SUPERIOR </t>
  </si>
  <si>
    <t>LIMITE INFERIOR</t>
  </si>
  <si>
    <t>TOTAL</t>
  </si>
  <si>
    <t>10 - 19.9</t>
  </si>
  <si>
    <t>20 - 29.9</t>
  </si>
  <si>
    <t>Aliso</t>
  </si>
  <si>
    <t>Alnus sp.</t>
  </si>
  <si>
    <t>area</t>
  </si>
  <si>
    <t>ha.</t>
  </si>
  <si>
    <t>mts.</t>
  </si>
  <si>
    <t>Ciprés</t>
  </si>
  <si>
    <t>Chulube</t>
  </si>
  <si>
    <t>Pinus ayacahuite</t>
  </si>
  <si>
    <t>Cupresus lusitanica</t>
  </si>
  <si>
    <t>N. D</t>
  </si>
  <si>
    <t>Pinus psudostrobus</t>
  </si>
  <si>
    <t>30 - 39.9</t>
  </si>
  <si>
    <t>Pino blanco</t>
  </si>
  <si>
    <t>Pino triste</t>
  </si>
  <si>
    <t>Arbutus xalapensis</t>
  </si>
  <si>
    <t>X</t>
  </si>
  <si>
    <t>Y</t>
  </si>
  <si>
    <t>Propietario</t>
  </si>
  <si>
    <t>area parcela</t>
  </si>
  <si>
    <t>Edelson Federico</t>
  </si>
  <si>
    <t>BASE_DATOS</t>
  </si>
  <si>
    <t>AREA_SITIO_HA</t>
  </si>
  <si>
    <t>Fecha de recolección</t>
  </si>
  <si>
    <t>AÑO</t>
  </si>
  <si>
    <t>MUNICIPIO</t>
  </si>
  <si>
    <t>DEPTO</t>
  </si>
  <si>
    <t>BD4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</si>
</sst>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\ &quot;m³&quot;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1" fontId="2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 wrapText="1"/>
    </xf>
    <xf numFmtId="2" fontId="0" fillId="5" borderId="1" xfId="0" applyNumberFormat="1" applyFill="1" applyBorder="1" applyAlignment="1">
      <alignment horizontal="center" wrapText="1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7" borderId="1" xfId="1" applyFont="1" applyFill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right"/>
    </xf>
    <xf numFmtId="164" fontId="6" fillId="0" borderId="1" xfId="1" applyNumberFormat="1" applyFont="1" applyBorder="1" applyAlignment="1">
      <alignment horizontal="right"/>
    </xf>
    <xf numFmtId="2" fontId="0" fillId="0" borderId="1" xfId="0" applyNumberFormat="1" applyFill="1" applyBorder="1" applyAlignment="1">
      <alignment horizontal="center" vertical="center"/>
    </xf>
    <xf numFmtId="10" fontId="6" fillId="8" borderId="1" xfId="2" applyNumberFormat="1" applyFont="1" applyFill="1" applyBorder="1" applyAlignment="1">
      <alignment horizontal="right"/>
    </xf>
    <xf numFmtId="164" fontId="6" fillId="0" borderId="1" xfId="1" applyNumberFormat="1" applyFon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left"/>
    </xf>
    <xf numFmtId="0" fontId="0" fillId="3" borderId="0" xfId="0" applyFill="1" applyBorder="1"/>
    <xf numFmtId="0" fontId="2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7" fillId="9" borderId="0" xfId="0" applyFont="1" applyFill="1" applyBorder="1"/>
    <xf numFmtId="0" fontId="0" fillId="11" borderId="0" xfId="0" applyFill="1" applyBorder="1"/>
    <xf numFmtId="0" fontId="0" fillId="10" borderId="0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/>
    </xf>
    <xf numFmtId="2" fontId="2" fillId="4" borderId="1" xfId="0" applyNumberFormat="1" applyFont="1" applyFill="1" applyBorder="1"/>
    <xf numFmtId="2" fontId="2" fillId="4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2" fontId="0" fillId="0" borderId="1" xfId="0" applyNumberFormat="1" applyFont="1" applyBorder="1"/>
    <xf numFmtId="0" fontId="8" fillId="0" borderId="1" xfId="0" applyFont="1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" fontId="0" fillId="0" borderId="0" xfId="0" applyNumberForma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3">
    <cellStyle name="Normal" xfId="0" builtinId="0"/>
    <cellStyle name="Normal 2" xfId="1"/>
    <cellStyle name="Porcentaje 2" xfId="2"/>
  </cellStyles>
  <dxfs count="40">
    <dxf>
      <border>
        <bottom style="thin">
          <color indexed="64"/>
        </bottom>
        <horizontal style="thin">
          <color indexed="64"/>
        </horizontal>
      </border>
    </dxf>
    <dxf>
      <alignment horizontal="center" readingOrder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numFmt numFmtId="2" formatCode="0.00"/>
    </dxf>
    <dxf>
      <numFmt numFmtId="1" formatCode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final" refreshedDate="41759.712454745371" createdVersion="3" refreshedVersion="3" minRefreshableVersion="3" recordCount="84">
  <cacheSource type="worksheet">
    <worksheetSource ref="A1:L85" sheet="base de datos"/>
  </cacheSource>
  <cacheFields count="12">
    <cacheField name="Parcela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No. Arbol" numFmtId="0">
      <sharedItems containsSemiMixedTypes="0" containsString="0" containsNumber="1" containsInteger="1" minValue="1" maxValue="20"/>
    </cacheField>
    <cacheField name="Nombre común" numFmtId="0">
      <sharedItems count="5">
        <s v="Aliso"/>
        <s v="Ciprés"/>
        <s v="Chulube"/>
        <s v="Pino blanco"/>
        <s v="Pino triste"/>
      </sharedItems>
    </cacheField>
    <cacheField name="Especie" numFmtId="0">
      <sharedItems count="5">
        <s v="Alnus sp."/>
        <s v="Cupresus lusitanica"/>
        <s v="N. D"/>
        <s v="Pinus ayacahuite"/>
        <s v="Pinus psudostrobus"/>
      </sharedItems>
    </cacheField>
    <cacheField name="Clase diámetrica" numFmtId="0">
      <sharedItems count="3">
        <s v="30 - 39.9"/>
        <s v="10 - 19.9"/>
        <s v="20 - 29.9"/>
      </sharedItems>
    </cacheField>
    <cacheField name="DAP (cm)" numFmtId="0">
      <sharedItems containsSemiMixedTypes="0" containsString="0" containsNumber="1" minValue="11" maxValue="35"/>
    </cacheField>
    <cacheField name="Altura (m)" numFmtId="0">
      <sharedItems containsSemiMixedTypes="0" containsString="0" containsNumber="1" containsInteger="1" minValue="7" maxValue="17"/>
    </cacheField>
    <cacheField name="Area Basal (m2)" numFmtId="2">
      <sharedItems containsSemiMixedTypes="0" containsString="0" containsNumber="1" minValue="9.503339999999999E-3" maxValue="9.6211499999999991E-2"/>
    </cacheField>
    <cacheField name="AB/Ha." numFmtId="2">
      <sharedItems containsSemiMixedTypes="0" containsString="0" containsNumber="1" minValue="3.1677799999999999E-2" maxValue="0.32070499999999996"/>
    </cacheField>
    <cacheField name="Volumen (m3)" numFmtId="2">
      <sharedItems containsSemiMixedTypes="0" containsString="0" containsNumber="1" minValue="5.1703163699999999E-2" maxValue="0.80481788760000017"/>
    </cacheField>
    <cacheField name="Volumen/Ha." numFmtId="2">
      <sharedItems containsSemiMixedTypes="0" containsString="0" containsNumber="1" minValue="0.17234387900000001" maxValue="2.6827262920000008"/>
    </cacheField>
    <cacheField name="Densidad/Ha." numFmtId="2">
      <sharedItems containsSemiMixedTypes="0" containsString="0" containsNumber="1" minValue="3.3333333333333335" maxValue="3.3333333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  <n v="1"/>
    <x v="0"/>
    <x v="0"/>
    <x v="0"/>
    <n v="31.6"/>
    <n v="15"/>
    <n v="7.8426902399999998E-2"/>
    <n v="0.26142300800000001"/>
    <n v="0.80481788760000017"/>
    <n v="2.6827262920000008"/>
    <n v="3.3333333333333335"/>
  </r>
  <r>
    <x v="0"/>
    <n v="2"/>
    <x v="0"/>
    <x v="0"/>
    <x v="1"/>
    <n v="13.2"/>
    <n v="8"/>
    <n v="1.3684809600000002E-2"/>
    <n v="4.5616032000000008E-2"/>
    <n v="0.17315315207999998"/>
    <n v="0.57717717359999998"/>
    <n v="3.3333333333333335"/>
  </r>
  <r>
    <x v="0"/>
    <n v="3"/>
    <x v="0"/>
    <x v="0"/>
    <x v="1"/>
    <n v="16"/>
    <n v="9"/>
    <n v="2.0106240000000001E-2"/>
    <n v="6.7020800000000005E-2"/>
    <n v="0.21547096199999999"/>
    <n v="0.71823654000000003"/>
    <n v="3.3333333333333335"/>
  </r>
  <r>
    <x v="0"/>
    <n v="4"/>
    <x v="0"/>
    <x v="0"/>
    <x v="1"/>
    <n v="13.3"/>
    <n v="8"/>
    <n v="1.3892940600000002E-2"/>
    <n v="4.6309802000000011E-2"/>
    <n v="0.17413893088000001"/>
    <n v="0.58046310293333336"/>
    <n v="3.3333333333333335"/>
  </r>
  <r>
    <x v="0"/>
    <n v="5"/>
    <x v="0"/>
    <x v="0"/>
    <x v="1"/>
    <n v="14"/>
    <n v="7"/>
    <n v="1.5393840000000002E-2"/>
    <n v="5.1312800000000013E-2"/>
    <n v="0.17213389400000001"/>
    <n v="0.5737796466666667"/>
    <n v="3.3333333333333335"/>
  </r>
  <r>
    <x v="0"/>
    <n v="6"/>
    <x v="0"/>
    <x v="0"/>
    <x v="1"/>
    <n v="17"/>
    <n v="8"/>
    <n v="2.2698060000000003E-2"/>
    <n v="7.5660200000000011E-2"/>
    <n v="0.215842954"/>
    <n v="0.7194765133333334"/>
    <n v="3.3333333333333335"/>
  </r>
  <r>
    <x v="0"/>
    <n v="7"/>
    <x v="1"/>
    <x v="1"/>
    <x v="1"/>
    <n v="16"/>
    <n v="12"/>
    <n v="2.0106240000000001E-2"/>
    <n v="6.7020800000000005E-2"/>
    <n v="0.102287157"/>
    <n v="0.34095719000000002"/>
    <n v="3.3333333333333335"/>
  </r>
  <r>
    <x v="0"/>
    <n v="8"/>
    <x v="1"/>
    <x v="1"/>
    <x v="1"/>
    <n v="11"/>
    <n v="12"/>
    <n v="9.503339999999999E-3"/>
    <n v="3.1677799999999999E-2"/>
    <n v="5.5447448999999996E-2"/>
    <n v="0.18482483"/>
    <n v="3.3333333333333335"/>
  </r>
  <r>
    <x v="0"/>
    <n v="9"/>
    <x v="0"/>
    <x v="0"/>
    <x v="1"/>
    <n v="17"/>
    <n v="14"/>
    <n v="2.2698060000000003E-2"/>
    <n v="7.5660200000000011E-2"/>
    <n v="0.29647222000000001"/>
    <n v="0.9882407333333334"/>
    <n v="3.3333333333333335"/>
  </r>
  <r>
    <x v="0"/>
    <n v="10"/>
    <x v="0"/>
    <x v="0"/>
    <x v="1"/>
    <n v="12"/>
    <n v="7"/>
    <n v="1.130976E-2"/>
    <n v="3.7699200000000002E-2"/>
    <n v="0.15520825799999999"/>
    <n v="0.51736086000000003"/>
    <n v="3.3333333333333335"/>
  </r>
  <r>
    <x v="0"/>
    <n v="11"/>
    <x v="0"/>
    <x v="0"/>
    <x v="2"/>
    <n v="26"/>
    <n v="14"/>
    <n v="5.3093040000000008E-2"/>
    <n v="0.17697680000000005"/>
    <n v="0.54840380200000005"/>
    <n v="1.8280126733333335"/>
    <n v="3.3333333333333335"/>
  </r>
  <r>
    <x v="1"/>
    <n v="1"/>
    <x v="1"/>
    <x v="1"/>
    <x v="1"/>
    <n v="16"/>
    <n v="14"/>
    <n v="2.0106240000000001E-2"/>
    <n v="6.7020800000000005E-2"/>
    <n v="0.1170908178"/>
    <n v="0.39030272599999999"/>
    <n v="3.3333333333333335"/>
  </r>
  <r>
    <x v="1"/>
    <n v="2"/>
    <x v="1"/>
    <x v="1"/>
    <x v="1"/>
    <n v="13"/>
    <n v="14"/>
    <n v="1.3273260000000002E-2"/>
    <n v="4.4244200000000011E-2"/>
    <n v="8.1874296600000007E-2"/>
    <n v="0.27291432200000004"/>
    <n v="3.3333333333333335"/>
  </r>
  <r>
    <x v="1"/>
    <n v="3"/>
    <x v="1"/>
    <x v="1"/>
    <x v="1"/>
    <n v="12"/>
    <n v="15"/>
    <n v="1.130976E-2"/>
    <n v="3.7699200000000002E-2"/>
    <n v="7.59181362E-2"/>
    <n v="0.25306045399999999"/>
    <n v="3.3333333333333335"/>
  </r>
  <r>
    <x v="1"/>
    <n v="4"/>
    <x v="1"/>
    <x v="1"/>
    <x v="2"/>
    <n v="22"/>
    <n v="16"/>
    <n v="3.8013359999999996E-2"/>
    <n v="0.1267112"/>
    <n v="0.23737056179999999"/>
    <n v="0.79123520599999997"/>
    <n v="3.3333333333333335"/>
  </r>
  <r>
    <x v="1"/>
    <n v="5"/>
    <x v="0"/>
    <x v="0"/>
    <x v="1"/>
    <n v="14"/>
    <n v="13"/>
    <n v="1.5393840000000002E-2"/>
    <n v="5.1312800000000013E-2"/>
    <n v="0.22681671800000003"/>
    <n v="0.75605572666666676"/>
    <n v="3.3333333333333335"/>
  </r>
  <r>
    <x v="1"/>
    <n v="6"/>
    <x v="1"/>
    <x v="1"/>
    <x v="1"/>
    <n v="12"/>
    <n v="10"/>
    <n v="1.130976E-2"/>
    <n v="3.7699200000000002E-2"/>
    <n v="5.5100488200000006E-2"/>
    <n v="0.18366829400000004"/>
    <n v="3.3333333333333335"/>
  </r>
  <r>
    <x v="1"/>
    <n v="7"/>
    <x v="1"/>
    <x v="1"/>
    <x v="1"/>
    <n v="15"/>
    <n v="14"/>
    <n v="1.76715E-2"/>
    <n v="5.8904999999999999E-2"/>
    <n v="0.10454240220000001"/>
    <n v="0.34847467400000004"/>
    <n v="3.3333333333333335"/>
  </r>
  <r>
    <x v="1"/>
    <n v="8"/>
    <x v="0"/>
    <x v="0"/>
    <x v="1"/>
    <n v="11"/>
    <n v="11"/>
    <n v="9.503339999999999E-3"/>
    <n v="3.1677799999999999E-2"/>
    <n v="0.17022743500000001"/>
    <n v="0.56742478333333335"/>
    <n v="3.3333333333333335"/>
  </r>
  <r>
    <x v="1"/>
    <n v="9"/>
    <x v="1"/>
    <x v="1"/>
    <x v="1"/>
    <n v="16"/>
    <n v="14"/>
    <n v="2.0106240000000001E-2"/>
    <n v="6.7020800000000005E-2"/>
    <n v="0.1170908178"/>
    <n v="0.39030272599999999"/>
    <n v="3.3333333333333335"/>
  </r>
  <r>
    <x v="1"/>
    <n v="10"/>
    <x v="0"/>
    <x v="0"/>
    <x v="1"/>
    <n v="12"/>
    <n v="10"/>
    <n v="1.130976E-2"/>
    <n v="3.7699200000000002E-2"/>
    <n v="0.17529582599999999"/>
    <n v="0.58431942000000003"/>
    <n v="3.3333333333333335"/>
  </r>
  <r>
    <x v="1"/>
    <n v="11"/>
    <x v="0"/>
    <x v="0"/>
    <x v="1"/>
    <n v="14"/>
    <n v="10"/>
    <n v="1.5393840000000002E-2"/>
    <n v="5.1312800000000013E-2"/>
    <n v="0.19947530600000002"/>
    <n v="0.66491768666666673"/>
    <n v="3.3333333333333335"/>
  </r>
  <r>
    <x v="1"/>
    <n v="12"/>
    <x v="0"/>
    <x v="0"/>
    <x v="1"/>
    <n v="12"/>
    <n v="10"/>
    <n v="1.130976E-2"/>
    <n v="3.7699200000000002E-2"/>
    <n v="0.17529582599999999"/>
    <n v="0.58431942000000003"/>
    <n v="3.3333333333333335"/>
  </r>
  <r>
    <x v="1"/>
    <n v="13"/>
    <x v="0"/>
    <x v="0"/>
    <x v="1"/>
    <n v="11"/>
    <n v="8"/>
    <n v="9.503339999999999E-3"/>
    <n v="3.1677799999999999E-2"/>
    <n v="0.15334829799999999"/>
    <n v="0.51116099333333331"/>
    <n v="3.3333333333333335"/>
  </r>
  <r>
    <x v="1"/>
    <n v="14"/>
    <x v="0"/>
    <x v="0"/>
    <x v="1"/>
    <n v="15"/>
    <n v="14"/>
    <n v="1.76715E-2"/>
    <n v="5.8904999999999999E-2"/>
    <n v="0.254809116"/>
    <n v="0.84936372000000004"/>
    <n v="3.3333333333333335"/>
  </r>
  <r>
    <x v="1"/>
    <n v="15"/>
    <x v="0"/>
    <x v="0"/>
    <x v="1"/>
    <n v="16"/>
    <n v="13"/>
    <n v="2.0106240000000001E-2"/>
    <n v="6.7020800000000005E-2"/>
    <n v="0.26308593800000002"/>
    <n v="0.8769531266666668"/>
    <n v="3.3333333333333335"/>
  </r>
  <r>
    <x v="1"/>
    <n v="16"/>
    <x v="0"/>
    <x v="0"/>
    <x v="1"/>
    <n v="12.7"/>
    <n v="10"/>
    <n v="1.26677166E-2"/>
    <n v="4.2225722E-2"/>
    <n v="0.18333550310000002"/>
    <n v="0.61111834366666673"/>
    <n v="3.3333333333333335"/>
  </r>
  <r>
    <x v="1"/>
    <n v="17"/>
    <x v="0"/>
    <x v="0"/>
    <x v="1"/>
    <n v="18.8"/>
    <n v="14"/>
    <n v="2.7759177600000001E-2"/>
    <n v="9.2530592000000009E-2"/>
    <n v="0.33842175784000006"/>
    <n v="1.1280725261333335"/>
    <n v="3.3333333333333335"/>
  </r>
  <r>
    <x v="1"/>
    <n v="18"/>
    <x v="2"/>
    <x v="2"/>
    <x v="2"/>
    <n v="23.5"/>
    <n v="14"/>
    <n v="4.3373714999999993E-2"/>
    <n v="0.14457904999999999"/>
    <n v="0.46784428449999999"/>
    <n v="1.5594809483333334"/>
    <n v="3.3333333333333335"/>
  </r>
  <r>
    <x v="2"/>
    <n v="1"/>
    <x v="3"/>
    <x v="3"/>
    <x v="1"/>
    <n v="19"/>
    <n v="15"/>
    <n v="2.835294E-2"/>
    <n v="9.4509800000000005E-2"/>
    <n v="0.1761079079"/>
    <n v="0.58702635966666672"/>
    <n v="3.3333333333333335"/>
  </r>
  <r>
    <x v="2"/>
    <n v="2"/>
    <x v="1"/>
    <x v="1"/>
    <x v="1"/>
    <n v="17"/>
    <n v="14"/>
    <n v="2.2698060000000003E-2"/>
    <n v="7.5660200000000011E-2"/>
    <n v="0.13044880859999999"/>
    <n v="0.434829362"/>
    <n v="3.3333333333333335"/>
  </r>
  <r>
    <x v="2"/>
    <n v="3"/>
    <x v="1"/>
    <x v="1"/>
    <x v="1"/>
    <n v="16"/>
    <n v="9"/>
    <n v="2.0106240000000001E-2"/>
    <n v="6.7020800000000005E-2"/>
    <n v="8.0081665800000007E-2"/>
    <n v="0.26693888600000004"/>
    <n v="3.3333333333333335"/>
  </r>
  <r>
    <x v="2"/>
    <n v="4"/>
    <x v="1"/>
    <x v="1"/>
    <x v="1"/>
    <n v="13"/>
    <n v="8"/>
    <n v="1.3273260000000002E-2"/>
    <n v="4.4244200000000011E-2"/>
    <n v="5.2556109000000004E-2"/>
    <n v="0.17518703000000002"/>
    <n v="3.3333333333333335"/>
  </r>
  <r>
    <x v="2"/>
    <n v="5"/>
    <x v="3"/>
    <x v="3"/>
    <x v="2"/>
    <n v="25"/>
    <n v="13"/>
    <n v="4.9087499999999999E-2"/>
    <n v="0.16362499999999999"/>
    <n v="0.25434777590000002"/>
    <n v="0.84782591966666676"/>
    <n v="3.3333333333333335"/>
  </r>
  <r>
    <x v="2"/>
    <n v="6"/>
    <x v="1"/>
    <x v="1"/>
    <x v="1"/>
    <n v="17"/>
    <n v="14"/>
    <n v="2.2698060000000003E-2"/>
    <n v="7.5660200000000011E-2"/>
    <n v="0.13044880859999999"/>
    <n v="0.434829362"/>
    <n v="3.3333333333333335"/>
  </r>
  <r>
    <x v="2"/>
    <n v="7"/>
    <x v="1"/>
    <x v="1"/>
    <x v="2"/>
    <n v="25"/>
    <n v="15"/>
    <n v="4.9087499999999999E-2"/>
    <n v="0.16362499999999999"/>
    <n v="0.28452831719999999"/>
    <n v="0.94842772399999997"/>
    <n v="3.3333333333333335"/>
  </r>
  <r>
    <x v="2"/>
    <n v="8"/>
    <x v="4"/>
    <x v="4"/>
    <x v="1"/>
    <n v="18"/>
    <n v="15"/>
    <n v="2.5446959999999998E-2"/>
    <n v="8.4823200000000001E-2"/>
    <n v="0.1441024488"/>
    <n v="0.48034149600000003"/>
    <n v="3.3333333333333335"/>
  </r>
  <r>
    <x v="2"/>
    <n v="9"/>
    <x v="1"/>
    <x v="1"/>
    <x v="2"/>
    <n v="23"/>
    <n v="14"/>
    <n v="4.154766E-2"/>
    <n v="0.13849220000000001"/>
    <n v="0.22759783259999999"/>
    <n v="0.75865944200000002"/>
    <n v="3.3333333333333335"/>
  </r>
  <r>
    <x v="2"/>
    <n v="10"/>
    <x v="3"/>
    <x v="3"/>
    <x v="2"/>
    <n v="20"/>
    <n v="14"/>
    <n v="3.1416000000000006E-2"/>
    <n v="0.10472000000000002"/>
    <n v="0.18144900590000002"/>
    <n v="0.60483001966666672"/>
    <n v="3.3333333333333335"/>
  </r>
  <r>
    <x v="2"/>
    <n v="11"/>
    <x v="1"/>
    <x v="1"/>
    <x v="1"/>
    <n v="17"/>
    <n v="13"/>
    <n v="2.2698060000000003E-2"/>
    <n v="7.5660200000000011E-2"/>
    <n v="0.12209283600000001"/>
    <n v="0.40697612000000005"/>
    <n v="3.3333333333333335"/>
  </r>
  <r>
    <x v="2"/>
    <n v="12"/>
    <x v="0"/>
    <x v="0"/>
    <x v="1"/>
    <n v="14"/>
    <n v="7"/>
    <n v="1.5393840000000002E-2"/>
    <n v="5.1312800000000013E-2"/>
    <n v="0.17213389400000001"/>
    <n v="0.5737796466666667"/>
    <n v="3.3333333333333335"/>
  </r>
  <r>
    <x v="2"/>
    <n v="13"/>
    <x v="2"/>
    <x v="2"/>
    <x v="1"/>
    <n v="14"/>
    <n v="8"/>
    <n v="1.5393840000000002E-2"/>
    <n v="5.1312800000000013E-2"/>
    <n v="0.18124769800000001"/>
    <n v="0.60415899333333345"/>
    <n v="3.3333333333333335"/>
  </r>
  <r>
    <x v="3"/>
    <n v="1"/>
    <x v="1"/>
    <x v="1"/>
    <x v="1"/>
    <n v="17.5"/>
    <n v="13"/>
    <n v="2.4052874999999998E-2"/>
    <n v="8.0176249999999991E-2"/>
    <n v="0.12857666595"/>
    <n v="0.42858888650000004"/>
    <n v="3.3333333333333335"/>
  </r>
  <r>
    <x v="3"/>
    <n v="2"/>
    <x v="1"/>
    <x v="1"/>
    <x v="1"/>
    <n v="18.5"/>
    <n v="15"/>
    <n v="2.6880314999999998E-2"/>
    <n v="8.9601050000000002E-2"/>
    <n v="0.16189935945"/>
    <n v="0.53966453150000004"/>
    <n v="3.3333333333333335"/>
  </r>
  <r>
    <x v="3"/>
    <n v="3"/>
    <x v="1"/>
    <x v="1"/>
    <x v="2"/>
    <n v="22.2"/>
    <n v="10"/>
    <n v="3.8707653600000003E-2"/>
    <n v="0.12902551200000001"/>
    <n v="0.15596199276"/>
    <n v="0.51987330920000008"/>
    <n v="3.3333333333333335"/>
  </r>
  <r>
    <x v="3"/>
    <n v="4"/>
    <x v="1"/>
    <x v="1"/>
    <x v="1"/>
    <n v="15.5"/>
    <n v="14"/>
    <n v="1.8869235000000002E-2"/>
    <n v="6.2897450000000008E-2"/>
    <n v="0.11071541310000001"/>
    <n v="0.36905137700000001"/>
    <n v="3.3333333333333335"/>
  </r>
  <r>
    <x v="3"/>
    <n v="5"/>
    <x v="1"/>
    <x v="1"/>
    <x v="1"/>
    <n v="12.4"/>
    <n v="10"/>
    <n v="1.2076310399999998E-2"/>
    <n v="4.0254367999999999E-2"/>
    <n v="5.7922436039999997E-2"/>
    <n v="0.19307478680000001"/>
    <n v="3.3333333333333335"/>
  </r>
  <r>
    <x v="3"/>
    <n v="6"/>
    <x v="1"/>
    <x v="1"/>
    <x v="1"/>
    <n v="15.1"/>
    <n v="13"/>
    <n v="1.79079054E-2"/>
    <n v="5.9693018E-2"/>
    <n v="9.9168268542000004E-2"/>
    <n v="0.33056089514000003"/>
    <n v="3.3333333333333335"/>
  </r>
  <r>
    <x v="3"/>
    <n v="7"/>
    <x v="4"/>
    <x v="4"/>
    <x v="1"/>
    <n v="11.5"/>
    <n v="14"/>
    <n v="1.0386915E-2"/>
    <n v="3.4623050000000002E-2"/>
    <n v="5.8043704599999996E-2"/>
    <n v="0.19347901533333334"/>
    <n v="3.3333333333333335"/>
  </r>
  <r>
    <x v="3"/>
    <n v="8"/>
    <x v="1"/>
    <x v="1"/>
    <x v="1"/>
    <n v="14.7"/>
    <n v="14"/>
    <n v="1.6971708599999996E-2"/>
    <n v="5.6572361999999987E-2"/>
    <n v="0.100935744684"/>
    <n v="0.33645248228000002"/>
    <n v="3.3333333333333335"/>
  </r>
  <r>
    <x v="3"/>
    <n v="9"/>
    <x v="0"/>
    <x v="0"/>
    <x v="1"/>
    <n v="17.5"/>
    <n v="9"/>
    <n v="2.4052874999999998E-2"/>
    <n v="8.0176249999999991E-2"/>
    <n v="0.23650013475000004"/>
    <n v="0.78833378250000019"/>
    <n v="3.3333333333333335"/>
  </r>
  <r>
    <x v="3"/>
    <n v="10"/>
    <x v="0"/>
    <x v="0"/>
    <x v="1"/>
    <n v="19.8"/>
    <n v="11"/>
    <n v="3.0790821600000001E-2"/>
    <n v="0.10263607200000001"/>
    <n v="0.30886141356000002"/>
    <n v="1.0295380452"/>
    <n v="3.3333333333333335"/>
  </r>
  <r>
    <x v="3"/>
    <n v="11"/>
    <x v="0"/>
    <x v="0"/>
    <x v="1"/>
    <n v="17.600000000000001"/>
    <n v="9"/>
    <n v="2.4328550400000006E-2"/>
    <n v="8.1095168000000023E-2"/>
    <n v="0.23796903816000003"/>
    <n v="0.79323012720000019"/>
    <n v="3.3333333333333335"/>
  </r>
  <r>
    <x v="3"/>
    <n v="12"/>
    <x v="1"/>
    <x v="1"/>
    <x v="1"/>
    <n v="11.5"/>
    <n v="10"/>
    <n v="1.0386915E-2"/>
    <n v="3.4623050000000002E-2"/>
    <n v="5.1703163699999999E-2"/>
    <n v="0.17234387900000001"/>
    <n v="3.3333333333333335"/>
  </r>
  <r>
    <x v="3"/>
    <n v="13"/>
    <x v="0"/>
    <x v="0"/>
    <x v="1"/>
    <n v="17.3"/>
    <n v="12"/>
    <n v="2.3506236600000004E-2"/>
    <n v="7.8354122000000012E-2"/>
    <n v="0.27533749452000006"/>
    <n v="0.91779164840000027"/>
    <n v="3.3333333333333335"/>
  </r>
  <r>
    <x v="3"/>
    <n v="14"/>
    <x v="0"/>
    <x v="0"/>
    <x v="1"/>
    <n v="18"/>
    <n v="14"/>
    <n v="2.5446959999999998E-2"/>
    <n v="8.4823200000000001E-2"/>
    <n v="0.31925672999999999"/>
    <n v="1.0641891000000001"/>
    <n v="3.3333333333333335"/>
  </r>
  <r>
    <x v="3"/>
    <n v="15"/>
    <x v="1"/>
    <x v="1"/>
    <x v="1"/>
    <n v="14.7"/>
    <n v="15"/>
    <n v="1.6971708599999996E-2"/>
    <n v="5.6572361999999987E-2"/>
    <n v="0.10718364128999999"/>
    <n v="0.35727880429999997"/>
    <n v="3.3333333333333335"/>
  </r>
  <r>
    <x v="3"/>
    <n v="16"/>
    <x v="0"/>
    <x v="0"/>
    <x v="1"/>
    <n v="16"/>
    <n v="9"/>
    <n v="2.0106240000000001E-2"/>
    <n v="6.7020800000000005E-2"/>
    <n v="0.21547096199999999"/>
    <n v="0.71823654000000003"/>
    <n v="3.3333333333333335"/>
  </r>
  <r>
    <x v="3"/>
    <n v="17"/>
    <x v="4"/>
    <x v="4"/>
    <x v="1"/>
    <n v="15"/>
    <n v="9"/>
    <n v="1.76715E-2"/>
    <n v="5.8904999999999999E-2"/>
    <n v="6.3006706799999992E-2"/>
    <n v="0.21002235599999999"/>
    <n v="3.3333333333333335"/>
  </r>
  <r>
    <x v="3"/>
    <n v="18"/>
    <x v="4"/>
    <x v="4"/>
    <x v="1"/>
    <n v="13.5"/>
    <n v="9"/>
    <n v="1.4313915000000002E-2"/>
    <n v="4.7713050000000007E-2"/>
    <n v="5.2000856099999992E-2"/>
    <n v="0.17333618699999997"/>
    <n v="3.3333333333333335"/>
  </r>
  <r>
    <x v="3"/>
    <n v="19"/>
    <x v="2"/>
    <x v="2"/>
    <x v="1"/>
    <n v="11.8"/>
    <n v="7"/>
    <n v="1.0935909600000002E-2"/>
    <n v="3.645303200000001E-2"/>
    <n v="0.15365891132000001"/>
    <n v="0.51219637106666671"/>
    <n v="3.3333333333333335"/>
  </r>
  <r>
    <x v="3"/>
    <n v="20"/>
    <x v="2"/>
    <x v="2"/>
    <x v="1"/>
    <n v="11.3"/>
    <n v="7"/>
    <n v="1.0028772600000001E-2"/>
    <n v="3.3429242000000005E-2"/>
    <n v="0.14989946717000002"/>
    <n v="0.49966489056666674"/>
    <n v="3.3333333333333335"/>
  </r>
  <r>
    <x v="4"/>
    <n v="1"/>
    <x v="3"/>
    <x v="3"/>
    <x v="2"/>
    <n v="28"/>
    <n v="16"/>
    <n v="6.157536000000001E-2"/>
    <n v="0.20525120000000005"/>
    <n v="0.3819278411"/>
    <n v="1.2730928036666667"/>
    <n v="3.3333333333333335"/>
  </r>
  <r>
    <x v="4"/>
    <n v="2"/>
    <x v="4"/>
    <x v="4"/>
    <x v="1"/>
    <n v="16"/>
    <n v="12"/>
    <n v="2.0106240000000001E-2"/>
    <n v="6.7020800000000005E-2"/>
    <n v="9.2956351199999995E-2"/>
    <n v="0.30985450399999998"/>
    <n v="3.3333333333333335"/>
  </r>
  <r>
    <x v="4"/>
    <n v="3"/>
    <x v="4"/>
    <x v="4"/>
    <x v="1"/>
    <n v="17"/>
    <n v="12"/>
    <n v="2.2698060000000003E-2"/>
    <n v="7.5660200000000011E-2"/>
    <n v="0.1042840104"/>
    <n v="0.34761336800000003"/>
    <n v="3.3333333333333335"/>
  </r>
  <r>
    <x v="4"/>
    <n v="4"/>
    <x v="1"/>
    <x v="1"/>
    <x v="1"/>
    <n v="17"/>
    <n v="14"/>
    <n v="2.2698060000000003E-2"/>
    <n v="7.5660200000000011E-2"/>
    <n v="0.13044880859999999"/>
    <n v="0.434829362"/>
    <n v="3.3333333333333335"/>
  </r>
  <r>
    <x v="4"/>
    <n v="5"/>
    <x v="1"/>
    <x v="1"/>
    <x v="1"/>
    <n v="15"/>
    <n v="13"/>
    <n v="1.76715E-2"/>
    <n v="5.8904999999999999E-2"/>
    <n v="9.8036887200000006E-2"/>
    <n v="0.32678962400000006"/>
    <n v="3.3333333333333335"/>
  </r>
  <r>
    <x v="4"/>
    <n v="6"/>
    <x v="1"/>
    <x v="1"/>
    <x v="1"/>
    <n v="16"/>
    <n v="14"/>
    <n v="2.0106240000000001E-2"/>
    <n v="6.7020800000000005E-2"/>
    <n v="0.1170908178"/>
    <n v="0.39030272599999999"/>
    <n v="3.3333333333333335"/>
  </r>
  <r>
    <x v="4"/>
    <n v="7"/>
    <x v="1"/>
    <x v="1"/>
    <x v="1"/>
    <n v="14"/>
    <n v="14"/>
    <n v="1.5393840000000002E-2"/>
    <n v="5.1312800000000013E-2"/>
    <n v="9.2803561800000003E-2"/>
    <n v="0.30934520600000004"/>
    <n v="3.3333333333333335"/>
  </r>
  <r>
    <x v="4"/>
    <n v="8"/>
    <x v="1"/>
    <x v="1"/>
    <x v="1"/>
    <n v="15"/>
    <n v="16"/>
    <n v="1.76715E-2"/>
    <n v="5.8904999999999999E-2"/>
    <n v="0.1175534322"/>
    <n v="0.39184477400000001"/>
    <n v="3.3333333333333335"/>
  </r>
  <r>
    <x v="4"/>
    <n v="9"/>
    <x v="2"/>
    <x v="2"/>
    <x v="1"/>
    <n v="18"/>
    <n v="12"/>
    <n v="2.5446959999999998E-2"/>
    <n v="8.4823200000000001E-2"/>
    <n v="0.28912537799999999"/>
    <n v="0.96375126"/>
    <n v="3.3333333333333335"/>
  </r>
  <r>
    <x v="4"/>
    <n v="10"/>
    <x v="4"/>
    <x v="4"/>
    <x v="1"/>
    <n v="17"/>
    <n v="14"/>
    <n v="2.2698060000000003E-2"/>
    <n v="7.5660200000000011E-2"/>
    <n v="0.12081781599999999"/>
    <n v="0.40272605333333333"/>
    <n v="3.3333333333333335"/>
  </r>
  <r>
    <x v="4"/>
    <n v="11"/>
    <x v="4"/>
    <x v="4"/>
    <x v="1"/>
    <n v="19"/>
    <n v="14"/>
    <n v="2.835294E-2"/>
    <n v="9.4509800000000005E-2"/>
    <n v="0.14965185759999999"/>
    <n v="0.49883952533333331"/>
    <n v="3.3333333333333335"/>
  </r>
  <r>
    <x v="4"/>
    <n v="12"/>
    <x v="2"/>
    <x v="2"/>
    <x v="2"/>
    <n v="20"/>
    <n v="12"/>
    <n v="3.1416000000000006E-2"/>
    <n v="0.10472000000000002"/>
    <n v="0.33153246600000003"/>
    <n v="1.1051082200000002"/>
    <n v="3.3333333333333335"/>
  </r>
  <r>
    <x v="5"/>
    <n v="1"/>
    <x v="3"/>
    <x v="3"/>
    <x v="0"/>
    <n v="35"/>
    <n v="13"/>
    <n v="9.6211499999999991E-2"/>
    <n v="0.32070499999999996"/>
    <n v="0.47954001590000001"/>
    <n v="1.5984667196666666"/>
    <n v="3.3333333333333335"/>
  </r>
  <r>
    <x v="5"/>
    <n v="2"/>
    <x v="1"/>
    <x v="1"/>
    <x v="1"/>
    <n v="18"/>
    <n v="12"/>
    <n v="2.5446959999999998E-2"/>
    <n v="8.4823200000000001E-2"/>
    <n v="0.12588049139999999"/>
    <n v="0.419601638"/>
    <n v="3.3333333333333335"/>
  </r>
  <r>
    <x v="5"/>
    <n v="3"/>
    <x v="2"/>
    <x v="2"/>
    <x v="1"/>
    <n v="18"/>
    <n v="9"/>
    <n v="2.5446959999999998E-2"/>
    <n v="8.4823200000000001E-2"/>
    <n v="0.24392835000000002"/>
    <n v="0.81309450000000005"/>
    <n v="3.3333333333333335"/>
  </r>
  <r>
    <x v="5"/>
    <n v="4"/>
    <x v="2"/>
    <x v="2"/>
    <x v="1"/>
    <n v="14"/>
    <n v="9"/>
    <n v="1.5393840000000002E-2"/>
    <n v="5.1312800000000013E-2"/>
    <n v="0.19036150200000002"/>
    <n v="0.63453834000000009"/>
    <n v="3.3333333333333335"/>
  </r>
  <r>
    <x v="5"/>
    <n v="5"/>
    <x v="2"/>
    <x v="2"/>
    <x v="1"/>
    <n v="17"/>
    <n v="8"/>
    <n v="2.2698060000000003E-2"/>
    <n v="7.5660200000000011E-2"/>
    <n v="0.215842954"/>
    <n v="0.7194765133333334"/>
    <n v="3.3333333333333335"/>
  </r>
  <r>
    <x v="5"/>
    <n v="6"/>
    <x v="4"/>
    <x v="4"/>
    <x v="2"/>
    <n v="23"/>
    <n v="17"/>
    <n v="4.154766E-2"/>
    <n v="0.13849220000000001"/>
    <n v="0.26232774039999995"/>
    <n v="0.87442580133333325"/>
    <n v="3.3333333333333335"/>
  </r>
  <r>
    <x v="5"/>
    <n v="7"/>
    <x v="3"/>
    <x v="3"/>
    <x v="2"/>
    <n v="22"/>
    <n v="14"/>
    <n v="3.8013359999999996E-2"/>
    <n v="0.1267112"/>
    <n v="0.2154010667"/>
    <n v="0.71800355566666674"/>
    <n v="3.3333333333333335"/>
  </r>
  <r>
    <x v="5"/>
    <n v="8"/>
    <x v="3"/>
    <x v="3"/>
    <x v="1"/>
    <n v="15"/>
    <n v="11"/>
    <n v="1.76715E-2"/>
    <n v="5.8904999999999999E-2"/>
    <n v="9.1227755900000013E-2"/>
    <n v="0.30409251966666673"/>
    <n v="3.3333333333333335"/>
  </r>
  <r>
    <x v="5"/>
    <n v="9"/>
    <x v="3"/>
    <x v="3"/>
    <x v="0"/>
    <n v="35"/>
    <n v="14"/>
    <n v="9.6211499999999991E-2"/>
    <n v="0.32070499999999996"/>
    <n v="0.51490674589999996"/>
    <n v="1.7163558196666666"/>
    <n v="3.3333333333333335"/>
  </r>
  <r>
    <x v="5"/>
    <n v="10"/>
    <x v="4"/>
    <x v="4"/>
    <x v="1"/>
    <n v="16"/>
    <n v="12"/>
    <n v="2.0106240000000001E-2"/>
    <n v="6.7020800000000005E-2"/>
    <n v="9.2956351199999995E-2"/>
    <n v="0.30985450399999998"/>
    <n v="3.33333333333333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4" firstHeaderRow="1" firstDataRow="1" firstDataCol="1"/>
  <pivotFields count="12">
    <pivotField showAll="0"/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</pivotFields>
  <rowFields count="2">
    <field x="3"/>
    <field x="2"/>
  </rowFields>
  <rowItems count="11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 t="grand">
      <x/>
    </i>
  </rowItems>
  <colItems count="1">
    <i/>
  </colItems>
  <dataFields count="1">
    <dataField name="Cuenta de No. Arbo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4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F10" firstHeaderRow="1" firstDataRow="2" firstDataCol="1"/>
  <pivotFields count="12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">
    <format dxfId="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3" cacheId="4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No. De Parcela">
  <location ref="A3:F11" firstHeaderRow="1" firstDataRow="2" firstDataCol="1"/>
  <pivotFields count="1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1">
    <format dxfId="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5">
      <pivotArea outline="0" collapsedLevelsAreSubtotals="1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4" cacheId="4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Especie y Clase Diametrica">
  <location ref="A3:F22" firstHeaderRow="1" firstDataRow="2" firstDataCol="1"/>
  <pivotFields count="12"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2">
    <field x="3"/>
    <field x="4"/>
  </rowFields>
  <rowItems count="18">
    <i>
      <x/>
    </i>
    <i r="1">
      <x/>
    </i>
    <i r="1">
      <x v="1"/>
    </i>
    <i r="1">
      <x v="2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r="1">
      <x v="2"/>
    </i>
    <i>
      <x v="4"/>
    </i>
    <i r="1"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17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outline="0" collapsedLevelsAreSubtotals="1" fieldPosition="0"/>
    </format>
    <format dxfId="0">
      <pivotArea field="3" grandRow="1" outline="0" collapsedLevelsAreSubtotals="1" axis="axisRow" fieldPosition="0">
        <references count="1">
          <reference field="4294967294" count="2" selected="0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zoomScale="78" zoomScaleNormal="78" workbookViewId="0">
      <selection activeCell="O12" sqref="O12"/>
    </sheetView>
  </sheetViews>
  <sheetFormatPr baseColWidth="10" defaultColWidth="11.42578125" defaultRowHeight="15" x14ac:dyDescent="0.25"/>
  <cols>
    <col min="1" max="1" width="9.140625" customWidth="1"/>
    <col min="2" max="2" width="9.5703125" customWidth="1"/>
    <col min="3" max="3" width="13" customWidth="1"/>
    <col min="4" max="4" width="24.140625" customWidth="1"/>
  </cols>
  <sheetData>
    <row r="1" spans="1:15" ht="24" x14ac:dyDescent="0.25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55" t="s">
        <v>56</v>
      </c>
      <c r="N1" s="56"/>
      <c r="O1" s="56"/>
    </row>
    <row r="2" spans="1:15" x14ac:dyDescent="0.25">
      <c r="A2" s="8">
        <v>1</v>
      </c>
      <c r="B2" s="8">
        <v>1</v>
      </c>
      <c r="C2" s="8" t="s">
        <v>54</v>
      </c>
      <c r="D2" s="8" t="s">
        <v>55</v>
      </c>
      <c r="E2" s="8" t="s">
        <v>65</v>
      </c>
      <c r="F2" s="71">
        <v>31.6</v>
      </c>
      <c r="G2" s="8">
        <v>15</v>
      </c>
      <c r="H2" s="11">
        <f t="shared" ref="H2:H3" si="0">0.7854*(F2/100)^2</f>
        <v>7.8426902399999998E-2</v>
      </c>
      <c r="I2" s="72">
        <f>H2*1/$O$3</f>
        <v>1.568538048</v>
      </c>
      <c r="J2" s="11">
        <f>(0.108337266+0.000046499*(F2^2*G2))</f>
        <v>0.80481788760000017</v>
      </c>
      <c r="K2" s="72">
        <f>J2/$O$3</f>
        <v>16.096357752000003</v>
      </c>
      <c r="L2" s="72">
        <f>1*1/$O$3</f>
        <v>20</v>
      </c>
      <c r="M2" s="56"/>
      <c r="N2" s="57" t="s">
        <v>58</v>
      </c>
      <c r="O2" s="57" t="s">
        <v>57</v>
      </c>
    </row>
    <row r="3" spans="1:15" x14ac:dyDescent="0.25">
      <c r="A3" s="8">
        <v>1</v>
      </c>
      <c r="B3" s="8">
        <v>2</v>
      </c>
      <c r="C3" s="8" t="s">
        <v>54</v>
      </c>
      <c r="D3" s="8" t="s">
        <v>55</v>
      </c>
      <c r="E3" s="8" t="s">
        <v>52</v>
      </c>
      <c r="F3" s="8">
        <v>13.2</v>
      </c>
      <c r="G3" s="8">
        <v>8</v>
      </c>
      <c r="H3" s="11">
        <f t="shared" si="0"/>
        <v>1.3684809600000002E-2</v>
      </c>
      <c r="I3" s="72">
        <f t="shared" ref="I3:I56" si="1">H3*1/$O$3</f>
        <v>0.273696192</v>
      </c>
      <c r="J3" s="11">
        <f t="shared" ref="J3:J7" si="2">(0.108337266+0.000046499*(F3^2*G3))</f>
        <v>0.17315315207999998</v>
      </c>
      <c r="K3" s="72">
        <f t="shared" ref="K3:K66" si="3">J3/$O$3</f>
        <v>3.4630630415999994</v>
      </c>
      <c r="L3" s="72">
        <f t="shared" ref="L3:L56" si="4">1*1/$O$3</f>
        <v>20</v>
      </c>
      <c r="M3" s="56"/>
      <c r="N3" s="58">
        <v>500</v>
      </c>
      <c r="O3" s="59">
        <f>N3/10000</f>
        <v>0.05</v>
      </c>
    </row>
    <row r="4" spans="1:15" x14ac:dyDescent="0.25">
      <c r="A4" s="8">
        <v>1</v>
      </c>
      <c r="B4" s="8">
        <v>3</v>
      </c>
      <c r="C4" s="8" t="s">
        <v>54</v>
      </c>
      <c r="D4" s="8" t="s">
        <v>55</v>
      </c>
      <c r="E4" s="8" t="s">
        <v>52</v>
      </c>
      <c r="F4" s="8">
        <v>16</v>
      </c>
      <c r="G4" s="8">
        <v>9</v>
      </c>
      <c r="H4" s="11">
        <f t="shared" ref="H4:H43" si="5">0.7854*(F4/100)^2</f>
        <v>2.0106240000000001E-2</v>
      </c>
      <c r="I4" s="72">
        <f t="shared" si="1"/>
        <v>0.4021248</v>
      </c>
      <c r="J4" s="11">
        <f t="shared" si="2"/>
        <v>0.21547096199999999</v>
      </c>
      <c r="K4" s="72">
        <f t="shared" si="3"/>
        <v>4.3094192399999995</v>
      </c>
      <c r="L4" s="72">
        <f t="shared" si="4"/>
        <v>20</v>
      </c>
      <c r="M4" s="56"/>
      <c r="N4" s="56"/>
      <c r="O4" s="56"/>
    </row>
    <row r="5" spans="1:15" x14ac:dyDescent="0.25">
      <c r="A5" s="8">
        <v>1</v>
      </c>
      <c r="B5" s="8">
        <v>4</v>
      </c>
      <c r="C5" s="8" t="s">
        <v>54</v>
      </c>
      <c r="D5" s="8" t="s">
        <v>55</v>
      </c>
      <c r="E5" s="8" t="s">
        <v>52</v>
      </c>
      <c r="F5" s="8">
        <v>13.3</v>
      </c>
      <c r="G5" s="8">
        <v>8</v>
      </c>
      <c r="H5" s="11">
        <f t="shared" si="5"/>
        <v>1.3892940600000002E-2</v>
      </c>
      <c r="I5" s="72">
        <f t="shared" si="1"/>
        <v>0.27785881200000001</v>
      </c>
      <c r="J5" s="11">
        <f t="shared" si="2"/>
        <v>0.17413893088000001</v>
      </c>
      <c r="K5" s="72">
        <f t="shared" si="3"/>
        <v>3.4827786176000002</v>
      </c>
      <c r="L5" s="72">
        <f t="shared" si="4"/>
        <v>20</v>
      </c>
      <c r="M5" s="56"/>
      <c r="N5" s="56"/>
      <c r="O5" s="56"/>
    </row>
    <row r="6" spans="1:15" x14ac:dyDescent="0.25">
      <c r="A6" s="8">
        <v>1</v>
      </c>
      <c r="B6" s="8">
        <v>5</v>
      </c>
      <c r="C6" s="8" t="s">
        <v>54</v>
      </c>
      <c r="D6" s="8" t="s">
        <v>55</v>
      </c>
      <c r="E6" s="8" t="s">
        <v>52</v>
      </c>
      <c r="F6" s="8">
        <v>14</v>
      </c>
      <c r="G6" s="8">
        <v>7</v>
      </c>
      <c r="H6" s="11">
        <f t="shared" si="5"/>
        <v>1.5393840000000002E-2</v>
      </c>
      <c r="I6" s="72">
        <f t="shared" si="1"/>
        <v>0.30787680000000001</v>
      </c>
      <c r="J6" s="11">
        <f t="shared" si="2"/>
        <v>0.17213389400000001</v>
      </c>
      <c r="K6" s="72">
        <f t="shared" si="3"/>
        <v>3.4426778800000002</v>
      </c>
      <c r="L6" s="72">
        <f t="shared" si="4"/>
        <v>20</v>
      </c>
      <c r="M6" s="56"/>
      <c r="N6" s="56"/>
      <c r="O6" s="56"/>
    </row>
    <row r="7" spans="1:15" x14ac:dyDescent="0.25">
      <c r="A7" s="8">
        <v>1</v>
      </c>
      <c r="B7" s="8">
        <v>6</v>
      </c>
      <c r="C7" s="8" t="s">
        <v>54</v>
      </c>
      <c r="D7" s="8" t="s">
        <v>55</v>
      </c>
      <c r="E7" s="8" t="s">
        <v>52</v>
      </c>
      <c r="F7" s="8">
        <v>17</v>
      </c>
      <c r="G7" s="8">
        <v>8</v>
      </c>
      <c r="H7" s="11">
        <f t="shared" si="5"/>
        <v>2.2698060000000003E-2</v>
      </c>
      <c r="I7" s="72">
        <f t="shared" si="1"/>
        <v>0.45396120000000001</v>
      </c>
      <c r="J7" s="11">
        <f t="shared" si="2"/>
        <v>0.215842954</v>
      </c>
      <c r="K7" s="72">
        <f t="shared" si="3"/>
        <v>4.3168590799999995</v>
      </c>
      <c r="L7" s="72">
        <f t="shared" si="4"/>
        <v>20</v>
      </c>
      <c r="M7" s="56"/>
      <c r="N7" s="56">
        <v>500</v>
      </c>
      <c r="O7" s="56"/>
    </row>
    <row r="8" spans="1:15" x14ac:dyDescent="0.25">
      <c r="A8" s="8">
        <v>1</v>
      </c>
      <c r="B8" s="8">
        <v>7</v>
      </c>
      <c r="C8" s="8" t="s">
        <v>59</v>
      </c>
      <c r="D8" s="8" t="s">
        <v>62</v>
      </c>
      <c r="E8" s="8" t="s">
        <v>52</v>
      </c>
      <c r="F8" s="8">
        <v>16</v>
      </c>
      <c r="G8" s="8">
        <v>12</v>
      </c>
      <c r="H8" s="11">
        <f t="shared" si="5"/>
        <v>2.0106240000000001E-2</v>
      </c>
      <c r="I8" s="72">
        <f t="shared" si="1"/>
        <v>0.4021248</v>
      </c>
      <c r="J8" s="11">
        <f>(0.0134651922+0.0000289134*(F8^2*G8))</f>
        <v>0.102287157</v>
      </c>
      <c r="K8" s="72">
        <f t="shared" si="3"/>
        <v>2.0457431399999999</v>
      </c>
      <c r="L8" s="72">
        <f t="shared" si="4"/>
        <v>20</v>
      </c>
      <c r="M8" s="56"/>
      <c r="N8" s="56">
        <f>+N7*6</f>
        <v>3000</v>
      </c>
      <c r="O8" s="56"/>
    </row>
    <row r="9" spans="1:15" x14ac:dyDescent="0.25">
      <c r="A9" s="8">
        <v>1</v>
      </c>
      <c r="B9" s="8">
        <v>8</v>
      </c>
      <c r="C9" s="8" t="s">
        <v>59</v>
      </c>
      <c r="D9" s="8" t="s">
        <v>62</v>
      </c>
      <c r="E9" s="8" t="s">
        <v>52</v>
      </c>
      <c r="F9" s="8">
        <v>11</v>
      </c>
      <c r="G9" s="8">
        <v>12</v>
      </c>
      <c r="H9" s="11">
        <f t="shared" si="5"/>
        <v>9.503339999999999E-3</v>
      </c>
      <c r="I9" s="72">
        <f t="shared" si="1"/>
        <v>0.19006679999999998</v>
      </c>
      <c r="J9" s="11">
        <f>(0.0134651922+0.0000289134*(F9^2*G9))</f>
        <v>5.5447448999999996E-2</v>
      </c>
      <c r="K9" s="72">
        <f t="shared" si="3"/>
        <v>1.1089489799999999</v>
      </c>
      <c r="L9" s="72">
        <f t="shared" si="4"/>
        <v>20</v>
      </c>
      <c r="M9" s="56"/>
      <c r="N9" s="56"/>
      <c r="O9" s="56"/>
    </row>
    <row r="10" spans="1:15" x14ac:dyDescent="0.25">
      <c r="A10" s="8">
        <v>1</v>
      </c>
      <c r="B10" s="8">
        <v>9</v>
      </c>
      <c r="C10" s="8" t="s">
        <v>54</v>
      </c>
      <c r="D10" s="8" t="s">
        <v>55</v>
      </c>
      <c r="E10" s="8" t="s">
        <v>52</v>
      </c>
      <c r="F10" s="8">
        <v>17</v>
      </c>
      <c r="G10" s="8">
        <v>14</v>
      </c>
      <c r="H10" s="11">
        <f t="shared" si="5"/>
        <v>2.2698060000000003E-2</v>
      </c>
      <c r="I10" s="72">
        <f t="shared" si="1"/>
        <v>0.45396120000000001</v>
      </c>
      <c r="J10" s="11">
        <f t="shared" ref="J10:J12" si="6">(0.108337266+0.000046499*(F10^2*G10))</f>
        <v>0.29647222000000001</v>
      </c>
      <c r="K10" s="72">
        <f t="shared" si="3"/>
        <v>5.9294443999999995</v>
      </c>
      <c r="L10" s="72">
        <f t="shared" si="4"/>
        <v>20</v>
      </c>
      <c r="M10" s="56"/>
      <c r="N10" s="56"/>
      <c r="O10" s="56"/>
    </row>
    <row r="11" spans="1:15" x14ac:dyDescent="0.25">
      <c r="A11" s="8">
        <v>1</v>
      </c>
      <c r="B11" s="8">
        <v>10</v>
      </c>
      <c r="C11" s="8" t="s">
        <v>54</v>
      </c>
      <c r="D11" s="8" t="s">
        <v>55</v>
      </c>
      <c r="E11" s="8" t="s">
        <v>52</v>
      </c>
      <c r="F11" s="8">
        <v>12</v>
      </c>
      <c r="G11" s="8">
        <v>7</v>
      </c>
      <c r="H11" s="11">
        <f t="shared" si="5"/>
        <v>1.130976E-2</v>
      </c>
      <c r="I11" s="72">
        <f t="shared" si="1"/>
        <v>0.22619519999999999</v>
      </c>
      <c r="J11" s="11">
        <f t="shared" si="6"/>
        <v>0.15520825799999999</v>
      </c>
      <c r="K11" s="72">
        <f t="shared" si="3"/>
        <v>3.1041651599999995</v>
      </c>
      <c r="L11" s="72">
        <f t="shared" si="4"/>
        <v>20</v>
      </c>
      <c r="M11" s="56"/>
      <c r="N11" s="56"/>
      <c r="O11" s="56"/>
    </row>
    <row r="12" spans="1:15" x14ac:dyDescent="0.25">
      <c r="A12" s="8">
        <v>1</v>
      </c>
      <c r="B12" s="8">
        <v>11</v>
      </c>
      <c r="C12" s="8" t="s">
        <v>54</v>
      </c>
      <c r="D12" s="8" t="s">
        <v>55</v>
      </c>
      <c r="E12" s="8" t="s">
        <v>53</v>
      </c>
      <c r="F12" s="8">
        <v>26</v>
      </c>
      <c r="G12" s="8">
        <v>14</v>
      </c>
      <c r="H12" s="11">
        <f t="shared" si="5"/>
        <v>5.3093040000000008E-2</v>
      </c>
      <c r="I12" s="72">
        <f t="shared" si="1"/>
        <v>1.0618608</v>
      </c>
      <c r="J12" s="11">
        <f t="shared" si="6"/>
        <v>0.54840380200000005</v>
      </c>
      <c r="K12" s="72">
        <f t="shared" si="3"/>
        <v>10.96807604</v>
      </c>
      <c r="L12" s="72">
        <f t="shared" si="4"/>
        <v>20</v>
      </c>
      <c r="M12" s="56"/>
      <c r="N12" s="56"/>
      <c r="O12" s="56"/>
    </row>
    <row r="13" spans="1:15" x14ac:dyDescent="0.25">
      <c r="A13" s="8">
        <v>2</v>
      </c>
      <c r="B13" s="8">
        <v>1</v>
      </c>
      <c r="C13" s="8" t="s">
        <v>59</v>
      </c>
      <c r="D13" s="8" t="s">
        <v>62</v>
      </c>
      <c r="E13" s="8" t="s">
        <v>52</v>
      </c>
      <c r="F13" s="8">
        <v>16</v>
      </c>
      <c r="G13" s="8">
        <v>14</v>
      </c>
      <c r="H13" s="11">
        <f t="shared" si="5"/>
        <v>2.0106240000000001E-2</v>
      </c>
      <c r="I13" s="72">
        <f t="shared" si="1"/>
        <v>0.4021248</v>
      </c>
      <c r="J13" s="11">
        <f t="shared" ref="J13:J16" si="7">(0.0134651922+0.0000289134*(F13^2*G13))</f>
        <v>0.1170908178</v>
      </c>
      <c r="K13" s="72">
        <f t="shared" si="3"/>
        <v>2.3418163559999998</v>
      </c>
      <c r="L13" s="72">
        <f t="shared" si="4"/>
        <v>20</v>
      </c>
      <c r="M13" s="56"/>
      <c r="N13" s="56"/>
      <c r="O13" s="56"/>
    </row>
    <row r="14" spans="1:15" x14ac:dyDescent="0.25">
      <c r="A14" s="8">
        <v>2</v>
      </c>
      <c r="B14" s="8">
        <v>2</v>
      </c>
      <c r="C14" s="8" t="s">
        <v>59</v>
      </c>
      <c r="D14" s="8" t="s">
        <v>62</v>
      </c>
      <c r="E14" s="8" t="s">
        <v>52</v>
      </c>
      <c r="F14" s="8">
        <v>13</v>
      </c>
      <c r="G14" s="8">
        <v>14</v>
      </c>
      <c r="H14" s="11">
        <f t="shared" si="5"/>
        <v>1.3273260000000002E-2</v>
      </c>
      <c r="I14" s="72">
        <f t="shared" si="1"/>
        <v>0.26546520000000001</v>
      </c>
      <c r="J14" s="11">
        <f t="shared" si="7"/>
        <v>8.1874296600000007E-2</v>
      </c>
      <c r="K14" s="72">
        <f t="shared" si="3"/>
        <v>1.6374859320000001</v>
      </c>
      <c r="L14" s="72">
        <f t="shared" si="4"/>
        <v>20</v>
      </c>
      <c r="M14" s="56"/>
      <c r="N14" s="56"/>
      <c r="O14" s="56"/>
    </row>
    <row r="15" spans="1:15" x14ac:dyDescent="0.25">
      <c r="A15" s="8">
        <v>2</v>
      </c>
      <c r="B15" s="8">
        <v>3</v>
      </c>
      <c r="C15" s="8" t="s">
        <v>59</v>
      </c>
      <c r="D15" s="8" t="s">
        <v>62</v>
      </c>
      <c r="E15" s="8" t="s">
        <v>52</v>
      </c>
      <c r="F15" s="8">
        <v>12</v>
      </c>
      <c r="G15" s="8">
        <v>15</v>
      </c>
      <c r="H15" s="11">
        <f t="shared" si="5"/>
        <v>1.130976E-2</v>
      </c>
      <c r="I15" s="72">
        <f t="shared" si="1"/>
        <v>0.22619519999999999</v>
      </c>
      <c r="J15" s="11">
        <f t="shared" si="7"/>
        <v>7.59181362E-2</v>
      </c>
      <c r="K15" s="72">
        <f t="shared" si="3"/>
        <v>1.5183627239999999</v>
      </c>
      <c r="L15" s="72">
        <f t="shared" si="4"/>
        <v>20</v>
      </c>
      <c r="M15" s="56"/>
      <c r="N15" s="56"/>
      <c r="O15" s="56"/>
    </row>
    <row r="16" spans="1:15" x14ac:dyDescent="0.25">
      <c r="A16" s="8">
        <v>2</v>
      </c>
      <c r="B16" s="8">
        <v>4</v>
      </c>
      <c r="C16" s="8" t="s">
        <v>59</v>
      </c>
      <c r="D16" s="8" t="s">
        <v>62</v>
      </c>
      <c r="E16" s="8" t="s">
        <v>53</v>
      </c>
      <c r="F16" s="8">
        <v>22</v>
      </c>
      <c r="G16" s="8">
        <v>16</v>
      </c>
      <c r="H16" s="11">
        <f t="shared" si="5"/>
        <v>3.8013359999999996E-2</v>
      </c>
      <c r="I16" s="72">
        <f t="shared" si="1"/>
        <v>0.76026719999999992</v>
      </c>
      <c r="J16" s="11">
        <f t="shared" si="7"/>
        <v>0.23737056179999999</v>
      </c>
      <c r="K16" s="72">
        <f t="shared" si="3"/>
        <v>4.7474112359999996</v>
      </c>
      <c r="L16" s="72">
        <f t="shared" si="4"/>
        <v>20</v>
      </c>
      <c r="M16" s="56"/>
      <c r="N16" s="56"/>
      <c r="O16" s="56"/>
    </row>
    <row r="17" spans="1:15" x14ac:dyDescent="0.25">
      <c r="A17" s="8">
        <v>2</v>
      </c>
      <c r="B17" s="8">
        <v>5</v>
      </c>
      <c r="C17" s="8" t="s">
        <v>54</v>
      </c>
      <c r="D17" s="8" t="s">
        <v>55</v>
      </c>
      <c r="E17" s="8" t="s">
        <v>52</v>
      </c>
      <c r="F17" s="8">
        <v>14</v>
      </c>
      <c r="G17" s="8">
        <v>13</v>
      </c>
      <c r="H17" s="11">
        <f t="shared" si="5"/>
        <v>1.5393840000000002E-2</v>
      </c>
      <c r="I17" s="72">
        <f t="shared" si="1"/>
        <v>0.30787680000000001</v>
      </c>
      <c r="J17" s="11">
        <f>(0.108337266+0.000046499*(F17^2*G17))</f>
        <v>0.22681671800000003</v>
      </c>
      <c r="K17" s="72">
        <f t="shared" si="3"/>
        <v>4.5363343600000006</v>
      </c>
      <c r="L17" s="72">
        <f t="shared" si="4"/>
        <v>20</v>
      </c>
      <c r="M17" s="56"/>
      <c r="N17" s="56"/>
      <c r="O17" s="56"/>
    </row>
    <row r="18" spans="1:15" x14ac:dyDescent="0.25">
      <c r="A18" s="8">
        <v>2</v>
      </c>
      <c r="B18" s="8">
        <v>6</v>
      </c>
      <c r="C18" s="8" t="s">
        <v>59</v>
      </c>
      <c r="D18" s="8" t="s">
        <v>62</v>
      </c>
      <c r="E18" s="8" t="s">
        <v>52</v>
      </c>
      <c r="F18" s="8">
        <v>12</v>
      </c>
      <c r="G18" s="8">
        <v>10</v>
      </c>
      <c r="H18" s="11">
        <f t="shared" si="5"/>
        <v>1.130976E-2</v>
      </c>
      <c r="I18" s="72">
        <f t="shared" si="1"/>
        <v>0.22619519999999999</v>
      </c>
      <c r="J18" s="11">
        <f t="shared" ref="J18:J19" si="8">(0.0134651922+0.0000289134*(F18^2*G18))</f>
        <v>5.5100488200000006E-2</v>
      </c>
      <c r="K18" s="72">
        <f t="shared" si="3"/>
        <v>1.1020097639999999</v>
      </c>
      <c r="L18" s="72">
        <f t="shared" si="4"/>
        <v>20</v>
      </c>
      <c r="M18" s="56"/>
      <c r="N18" s="56"/>
      <c r="O18" s="56"/>
    </row>
    <row r="19" spans="1:15" x14ac:dyDescent="0.25">
      <c r="A19" s="8">
        <v>2</v>
      </c>
      <c r="B19" s="8">
        <v>7</v>
      </c>
      <c r="C19" s="8" t="s">
        <v>59</v>
      </c>
      <c r="D19" s="8" t="s">
        <v>62</v>
      </c>
      <c r="E19" s="8" t="s">
        <v>52</v>
      </c>
      <c r="F19" s="8">
        <v>15</v>
      </c>
      <c r="G19" s="8">
        <v>14</v>
      </c>
      <c r="H19" s="11">
        <f t="shared" si="5"/>
        <v>1.76715E-2</v>
      </c>
      <c r="I19" s="72">
        <f t="shared" si="1"/>
        <v>0.35342999999999997</v>
      </c>
      <c r="J19" s="11">
        <f t="shared" si="8"/>
        <v>0.10454240220000001</v>
      </c>
      <c r="K19" s="72">
        <f t="shared" si="3"/>
        <v>2.0908480439999999</v>
      </c>
      <c r="L19" s="72">
        <f t="shared" si="4"/>
        <v>20</v>
      </c>
      <c r="M19" s="56"/>
      <c r="N19" s="56"/>
      <c r="O19" s="56"/>
    </row>
    <row r="20" spans="1:15" x14ac:dyDescent="0.25">
      <c r="A20" s="8">
        <v>2</v>
      </c>
      <c r="B20" s="8">
        <v>8</v>
      </c>
      <c r="C20" s="8" t="s">
        <v>54</v>
      </c>
      <c r="D20" s="8" t="s">
        <v>55</v>
      </c>
      <c r="E20" s="8" t="s">
        <v>52</v>
      </c>
      <c r="F20" s="8">
        <v>11</v>
      </c>
      <c r="G20" s="8">
        <v>11</v>
      </c>
      <c r="H20" s="11">
        <f t="shared" si="5"/>
        <v>9.503339999999999E-3</v>
      </c>
      <c r="I20" s="72">
        <f t="shared" si="1"/>
        <v>0.19006679999999998</v>
      </c>
      <c r="J20" s="11">
        <f>(0.108337266+0.000046499*(F20^2*G20))</f>
        <v>0.17022743500000001</v>
      </c>
      <c r="K20" s="72">
        <f t="shared" si="3"/>
        <v>3.4045486999999999</v>
      </c>
      <c r="L20" s="72">
        <f t="shared" si="4"/>
        <v>20</v>
      </c>
      <c r="M20" s="56"/>
      <c r="N20" s="56"/>
      <c r="O20" s="56"/>
    </row>
    <row r="21" spans="1:15" x14ac:dyDescent="0.25">
      <c r="A21" s="8">
        <v>2</v>
      </c>
      <c r="B21" s="8">
        <v>9</v>
      </c>
      <c r="C21" s="8" t="s">
        <v>59</v>
      </c>
      <c r="D21" s="8" t="s">
        <v>62</v>
      </c>
      <c r="E21" s="8" t="s">
        <v>52</v>
      </c>
      <c r="F21" s="8">
        <v>16</v>
      </c>
      <c r="G21" s="8">
        <v>14</v>
      </c>
      <c r="H21" s="11">
        <f t="shared" si="5"/>
        <v>2.0106240000000001E-2</v>
      </c>
      <c r="I21" s="72">
        <f t="shared" si="1"/>
        <v>0.4021248</v>
      </c>
      <c r="J21" s="11">
        <f>(0.0134651922+0.0000289134*(F21^2*G21))</f>
        <v>0.1170908178</v>
      </c>
      <c r="K21" s="72">
        <f t="shared" si="3"/>
        <v>2.3418163559999998</v>
      </c>
      <c r="L21" s="72">
        <f t="shared" si="4"/>
        <v>20</v>
      </c>
      <c r="M21" s="56"/>
      <c r="N21" s="56"/>
      <c r="O21" s="56"/>
    </row>
    <row r="22" spans="1:15" x14ac:dyDescent="0.25">
      <c r="A22" s="8">
        <v>2</v>
      </c>
      <c r="B22" s="8">
        <v>10</v>
      </c>
      <c r="C22" s="8" t="s">
        <v>54</v>
      </c>
      <c r="D22" s="8" t="s">
        <v>55</v>
      </c>
      <c r="E22" s="8" t="s">
        <v>52</v>
      </c>
      <c r="F22" s="8">
        <v>12</v>
      </c>
      <c r="G22" s="8">
        <v>10</v>
      </c>
      <c r="H22" s="11">
        <f t="shared" si="5"/>
        <v>1.130976E-2</v>
      </c>
      <c r="I22" s="72">
        <f t="shared" si="1"/>
        <v>0.22619519999999999</v>
      </c>
      <c r="J22" s="11">
        <f t="shared" ref="J22:J29" si="9">(0.108337266+0.000046499*(F22^2*G22))</f>
        <v>0.17529582599999999</v>
      </c>
      <c r="K22" s="72">
        <f t="shared" si="3"/>
        <v>3.5059165199999995</v>
      </c>
      <c r="L22" s="72">
        <f t="shared" si="4"/>
        <v>20</v>
      </c>
      <c r="M22" s="56"/>
      <c r="N22" s="56"/>
      <c r="O22" s="56"/>
    </row>
    <row r="23" spans="1:15" x14ac:dyDescent="0.25">
      <c r="A23" s="8">
        <v>2</v>
      </c>
      <c r="B23" s="8">
        <v>11</v>
      </c>
      <c r="C23" s="8" t="s">
        <v>54</v>
      </c>
      <c r="D23" s="8" t="s">
        <v>55</v>
      </c>
      <c r="E23" s="8" t="s">
        <v>52</v>
      </c>
      <c r="F23" s="8">
        <v>14</v>
      </c>
      <c r="G23" s="8">
        <v>10</v>
      </c>
      <c r="H23" s="11">
        <f t="shared" si="5"/>
        <v>1.5393840000000002E-2</v>
      </c>
      <c r="I23" s="72">
        <f t="shared" si="1"/>
        <v>0.30787680000000001</v>
      </c>
      <c r="J23" s="11">
        <f t="shared" si="9"/>
        <v>0.19947530600000002</v>
      </c>
      <c r="K23" s="72">
        <f t="shared" si="3"/>
        <v>3.9895061200000002</v>
      </c>
      <c r="L23" s="72">
        <f t="shared" si="4"/>
        <v>20</v>
      </c>
      <c r="M23" s="56"/>
      <c r="N23" s="56"/>
      <c r="O23" s="56"/>
    </row>
    <row r="24" spans="1:15" x14ac:dyDescent="0.25">
      <c r="A24" s="8">
        <v>2</v>
      </c>
      <c r="B24" s="8">
        <v>12</v>
      </c>
      <c r="C24" s="8" t="s">
        <v>54</v>
      </c>
      <c r="D24" s="8" t="s">
        <v>55</v>
      </c>
      <c r="E24" s="8" t="s">
        <v>52</v>
      </c>
      <c r="F24" s="8">
        <v>12</v>
      </c>
      <c r="G24" s="8">
        <v>10</v>
      </c>
      <c r="H24" s="11">
        <f t="shared" si="5"/>
        <v>1.130976E-2</v>
      </c>
      <c r="I24" s="72">
        <f t="shared" si="1"/>
        <v>0.22619519999999999</v>
      </c>
      <c r="J24" s="11">
        <f t="shared" si="9"/>
        <v>0.17529582599999999</v>
      </c>
      <c r="K24" s="72">
        <f t="shared" si="3"/>
        <v>3.5059165199999995</v>
      </c>
      <c r="L24" s="72">
        <f t="shared" si="4"/>
        <v>20</v>
      </c>
      <c r="M24" s="56"/>
      <c r="N24" s="56"/>
      <c r="O24" s="56"/>
    </row>
    <row r="25" spans="1:15" x14ac:dyDescent="0.25">
      <c r="A25" s="8">
        <v>2</v>
      </c>
      <c r="B25" s="8">
        <v>13</v>
      </c>
      <c r="C25" s="8" t="s">
        <v>54</v>
      </c>
      <c r="D25" s="8" t="s">
        <v>55</v>
      </c>
      <c r="E25" s="8" t="s">
        <v>52</v>
      </c>
      <c r="F25" s="8">
        <v>11</v>
      </c>
      <c r="G25" s="8">
        <v>8</v>
      </c>
      <c r="H25" s="11">
        <f t="shared" si="5"/>
        <v>9.503339999999999E-3</v>
      </c>
      <c r="I25" s="72">
        <f t="shared" si="1"/>
        <v>0.19006679999999998</v>
      </c>
      <c r="J25" s="11">
        <f t="shared" si="9"/>
        <v>0.15334829799999999</v>
      </c>
      <c r="K25" s="72">
        <f t="shared" si="3"/>
        <v>3.0669659599999997</v>
      </c>
      <c r="L25" s="72">
        <f t="shared" si="4"/>
        <v>20</v>
      </c>
      <c r="M25" s="56"/>
      <c r="N25" s="56"/>
      <c r="O25" s="56"/>
    </row>
    <row r="26" spans="1:15" x14ac:dyDescent="0.25">
      <c r="A26" s="8">
        <v>2</v>
      </c>
      <c r="B26" s="8">
        <v>14</v>
      </c>
      <c r="C26" s="8" t="s">
        <v>54</v>
      </c>
      <c r="D26" s="8" t="s">
        <v>55</v>
      </c>
      <c r="E26" s="8" t="s">
        <v>52</v>
      </c>
      <c r="F26" s="8">
        <v>15</v>
      </c>
      <c r="G26" s="8">
        <v>14</v>
      </c>
      <c r="H26" s="11">
        <f t="shared" si="5"/>
        <v>1.76715E-2</v>
      </c>
      <c r="I26" s="72">
        <f t="shared" si="1"/>
        <v>0.35342999999999997</v>
      </c>
      <c r="J26" s="11">
        <f t="shared" si="9"/>
        <v>0.254809116</v>
      </c>
      <c r="K26" s="72">
        <f t="shared" si="3"/>
        <v>5.0961823199999996</v>
      </c>
      <c r="L26" s="72">
        <f t="shared" si="4"/>
        <v>20</v>
      </c>
      <c r="M26" s="56"/>
      <c r="N26" s="56"/>
      <c r="O26" s="56"/>
    </row>
    <row r="27" spans="1:15" x14ac:dyDescent="0.25">
      <c r="A27" s="8">
        <v>2</v>
      </c>
      <c r="B27" s="8">
        <v>15</v>
      </c>
      <c r="C27" s="8" t="s">
        <v>54</v>
      </c>
      <c r="D27" s="8" t="s">
        <v>55</v>
      </c>
      <c r="E27" s="8" t="s">
        <v>52</v>
      </c>
      <c r="F27" s="8">
        <v>16</v>
      </c>
      <c r="G27" s="8">
        <v>13</v>
      </c>
      <c r="H27" s="11">
        <f t="shared" si="5"/>
        <v>2.0106240000000001E-2</v>
      </c>
      <c r="I27" s="72">
        <f t="shared" si="1"/>
        <v>0.4021248</v>
      </c>
      <c r="J27" s="11">
        <f t="shared" si="9"/>
        <v>0.26308593800000002</v>
      </c>
      <c r="K27" s="72">
        <f t="shared" si="3"/>
        <v>5.2617187599999999</v>
      </c>
      <c r="L27" s="72">
        <f t="shared" si="4"/>
        <v>20</v>
      </c>
      <c r="M27" s="56"/>
      <c r="N27" s="56"/>
      <c r="O27" s="56"/>
    </row>
    <row r="28" spans="1:15" x14ac:dyDescent="0.25">
      <c r="A28" s="8">
        <v>2</v>
      </c>
      <c r="B28" s="8">
        <v>16</v>
      </c>
      <c r="C28" s="8" t="s">
        <v>54</v>
      </c>
      <c r="D28" s="8" t="s">
        <v>55</v>
      </c>
      <c r="E28" s="8" t="s">
        <v>52</v>
      </c>
      <c r="F28" s="8">
        <v>12.7</v>
      </c>
      <c r="G28" s="8">
        <v>10</v>
      </c>
      <c r="H28" s="11">
        <f t="shared" si="5"/>
        <v>1.26677166E-2</v>
      </c>
      <c r="I28" s="72">
        <f t="shared" si="1"/>
        <v>0.25335433199999996</v>
      </c>
      <c r="J28" s="11">
        <f t="shared" si="9"/>
        <v>0.18333550310000002</v>
      </c>
      <c r="K28" s="72">
        <f t="shared" si="3"/>
        <v>3.6667100620000004</v>
      </c>
      <c r="L28" s="72">
        <f t="shared" si="4"/>
        <v>20</v>
      </c>
      <c r="M28" s="56"/>
      <c r="N28" s="56"/>
      <c r="O28" s="56"/>
    </row>
    <row r="29" spans="1:15" s="1" customFormat="1" x14ac:dyDescent="0.25">
      <c r="A29" s="8">
        <v>2</v>
      </c>
      <c r="B29" s="8">
        <v>17</v>
      </c>
      <c r="C29" s="8" t="s">
        <v>54</v>
      </c>
      <c r="D29" s="8" t="s">
        <v>55</v>
      </c>
      <c r="E29" s="8" t="s">
        <v>52</v>
      </c>
      <c r="F29" s="8">
        <v>18.8</v>
      </c>
      <c r="G29" s="8">
        <v>14</v>
      </c>
      <c r="H29" s="11">
        <f t="shared" si="5"/>
        <v>2.7759177600000001E-2</v>
      </c>
      <c r="I29" s="72">
        <f t="shared" si="1"/>
        <v>0.55518355200000002</v>
      </c>
      <c r="J29" s="11">
        <f t="shared" si="9"/>
        <v>0.33842175784000006</v>
      </c>
      <c r="K29" s="72">
        <f t="shared" si="3"/>
        <v>6.7684351568000007</v>
      </c>
      <c r="L29" s="72">
        <f t="shared" si="4"/>
        <v>20</v>
      </c>
      <c r="M29" s="56"/>
      <c r="N29" s="56"/>
      <c r="O29" s="56"/>
    </row>
    <row r="30" spans="1:15" s="1" customFormat="1" x14ac:dyDescent="0.25">
      <c r="A30" s="8">
        <v>2</v>
      </c>
      <c r="B30" s="8">
        <v>18</v>
      </c>
      <c r="C30" s="8" t="s">
        <v>60</v>
      </c>
      <c r="D30" s="73" t="s">
        <v>68</v>
      </c>
      <c r="E30" s="8" t="s">
        <v>53</v>
      </c>
      <c r="F30" s="8">
        <v>23.5</v>
      </c>
      <c r="G30" s="8">
        <v>14</v>
      </c>
      <c r="H30" s="11">
        <f t="shared" si="5"/>
        <v>4.3373714999999993E-2</v>
      </c>
      <c r="I30" s="72">
        <f t="shared" si="1"/>
        <v>0.86747429999999981</v>
      </c>
      <c r="J30" s="11">
        <f>(0.108337266+0.000046499*(F30^2*G30))</f>
        <v>0.46784428449999999</v>
      </c>
      <c r="K30" s="72">
        <f t="shared" si="3"/>
        <v>9.3568856899999986</v>
      </c>
      <c r="L30" s="72">
        <f t="shared" si="4"/>
        <v>20</v>
      </c>
      <c r="M30" s="56"/>
      <c r="N30" s="56"/>
      <c r="O30" s="56"/>
    </row>
    <row r="31" spans="1:15" x14ac:dyDescent="0.25">
      <c r="A31" s="8">
        <v>3</v>
      </c>
      <c r="B31" s="8">
        <v>1</v>
      </c>
      <c r="C31" s="8" t="s">
        <v>66</v>
      </c>
      <c r="D31" s="8" t="s">
        <v>61</v>
      </c>
      <c r="E31" s="8" t="s">
        <v>52</v>
      </c>
      <c r="F31" s="8">
        <v>19</v>
      </c>
      <c r="G31" s="8">
        <v>15</v>
      </c>
      <c r="H31" s="11">
        <f t="shared" si="5"/>
        <v>2.835294E-2</v>
      </c>
      <c r="I31" s="72">
        <f t="shared" si="1"/>
        <v>0.56705879999999997</v>
      </c>
      <c r="J31" s="11">
        <f>(0.0197725259+0.0000288708*(F31^2*G31))</f>
        <v>0.1761079079</v>
      </c>
      <c r="K31" s="72">
        <f t="shared" si="3"/>
        <v>3.5221581579999999</v>
      </c>
      <c r="L31" s="72">
        <f t="shared" si="4"/>
        <v>20</v>
      </c>
      <c r="M31" s="56"/>
      <c r="N31" s="56"/>
      <c r="O31" s="56"/>
    </row>
    <row r="32" spans="1:15" x14ac:dyDescent="0.25">
      <c r="A32" s="8">
        <v>3</v>
      </c>
      <c r="B32" s="8">
        <v>2</v>
      </c>
      <c r="C32" s="8" t="s">
        <v>59</v>
      </c>
      <c r="D32" s="8" t="s">
        <v>62</v>
      </c>
      <c r="E32" s="8" t="s">
        <v>52</v>
      </c>
      <c r="F32" s="8">
        <v>17</v>
      </c>
      <c r="G32" s="8">
        <v>14</v>
      </c>
      <c r="H32" s="11">
        <f t="shared" si="5"/>
        <v>2.2698060000000003E-2</v>
      </c>
      <c r="I32" s="72">
        <f t="shared" si="1"/>
        <v>0.45396120000000001</v>
      </c>
      <c r="J32" s="11">
        <f t="shared" ref="J32:J34" si="10">(0.0134651922+0.0000289134*(F32^2*G32))</f>
        <v>0.13044880859999999</v>
      </c>
      <c r="K32" s="72">
        <f t="shared" si="3"/>
        <v>2.6089761719999998</v>
      </c>
      <c r="L32" s="72">
        <f t="shared" si="4"/>
        <v>20</v>
      </c>
      <c r="M32" s="56"/>
      <c r="N32" s="56"/>
      <c r="O32" s="56"/>
    </row>
    <row r="33" spans="1:15" x14ac:dyDescent="0.25">
      <c r="A33" s="8">
        <v>3</v>
      </c>
      <c r="B33" s="8">
        <v>3</v>
      </c>
      <c r="C33" s="8" t="s">
        <v>59</v>
      </c>
      <c r="D33" s="8" t="s">
        <v>62</v>
      </c>
      <c r="E33" s="8" t="s">
        <v>52</v>
      </c>
      <c r="F33" s="8">
        <v>16</v>
      </c>
      <c r="G33" s="8">
        <v>9</v>
      </c>
      <c r="H33" s="11">
        <f t="shared" si="5"/>
        <v>2.0106240000000001E-2</v>
      </c>
      <c r="I33" s="72">
        <f t="shared" si="1"/>
        <v>0.4021248</v>
      </c>
      <c r="J33" s="11">
        <f t="shared" si="10"/>
        <v>8.0081665800000007E-2</v>
      </c>
      <c r="K33" s="72">
        <f t="shared" si="3"/>
        <v>1.601633316</v>
      </c>
      <c r="L33" s="72">
        <f t="shared" si="4"/>
        <v>20</v>
      </c>
      <c r="M33" s="56"/>
      <c r="N33" s="56"/>
      <c r="O33" s="56"/>
    </row>
    <row r="34" spans="1:15" x14ac:dyDescent="0.25">
      <c r="A34" s="8">
        <v>3</v>
      </c>
      <c r="B34" s="8">
        <v>4</v>
      </c>
      <c r="C34" s="8" t="s">
        <v>59</v>
      </c>
      <c r="D34" s="8" t="s">
        <v>62</v>
      </c>
      <c r="E34" s="8" t="s">
        <v>52</v>
      </c>
      <c r="F34" s="8">
        <v>13</v>
      </c>
      <c r="G34" s="8">
        <v>8</v>
      </c>
      <c r="H34" s="11">
        <f t="shared" si="5"/>
        <v>1.3273260000000002E-2</v>
      </c>
      <c r="I34" s="72">
        <f t="shared" si="1"/>
        <v>0.26546520000000001</v>
      </c>
      <c r="J34" s="11">
        <f t="shared" si="10"/>
        <v>5.2556109000000004E-2</v>
      </c>
      <c r="K34" s="72">
        <f t="shared" si="3"/>
        <v>1.0511221799999999</v>
      </c>
      <c r="L34" s="72">
        <f t="shared" si="4"/>
        <v>20</v>
      </c>
      <c r="M34" s="56"/>
      <c r="N34" s="56"/>
      <c r="O34" s="56"/>
    </row>
    <row r="35" spans="1:15" x14ac:dyDescent="0.25">
      <c r="A35" s="8">
        <v>3</v>
      </c>
      <c r="B35" s="8">
        <v>5</v>
      </c>
      <c r="C35" s="8" t="s">
        <v>66</v>
      </c>
      <c r="D35" s="8" t="s">
        <v>61</v>
      </c>
      <c r="E35" s="8" t="s">
        <v>53</v>
      </c>
      <c r="F35" s="8">
        <v>25</v>
      </c>
      <c r="G35" s="8">
        <v>13</v>
      </c>
      <c r="H35" s="11">
        <f t="shared" si="5"/>
        <v>4.9087499999999999E-2</v>
      </c>
      <c r="I35" s="72">
        <f t="shared" si="1"/>
        <v>0.9817499999999999</v>
      </c>
      <c r="J35" s="11">
        <f>(0.0197725259+0.0000288708*(F35^2*G35))</f>
        <v>0.25434777590000002</v>
      </c>
      <c r="K35" s="72">
        <f t="shared" si="3"/>
        <v>5.0869555179999999</v>
      </c>
      <c r="L35" s="72">
        <f t="shared" si="4"/>
        <v>20</v>
      </c>
      <c r="M35" s="56"/>
      <c r="N35" s="56"/>
      <c r="O35" s="56"/>
    </row>
    <row r="36" spans="1:15" x14ac:dyDescent="0.25">
      <c r="A36" s="8">
        <v>3</v>
      </c>
      <c r="B36" s="8">
        <v>6</v>
      </c>
      <c r="C36" s="8" t="s">
        <v>59</v>
      </c>
      <c r="D36" s="8" t="s">
        <v>62</v>
      </c>
      <c r="E36" s="8" t="s">
        <v>52</v>
      </c>
      <c r="F36" s="8">
        <v>17</v>
      </c>
      <c r="G36" s="8">
        <v>14</v>
      </c>
      <c r="H36" s="11">
        <f t="shared" si="5"/>
        <v>2.2698060000000003E-2</v>
      </c>
      <c r="I36" s="72">
        <f t="shared" si="1"/>
        <v>0.45396120000000001</v>
      </c>
      <c r="J36" s="11">
        <f t="shared" ref="J36:J37" si="11">(0.0134651922+0.0000289134*(F36^2*G36))</f>
        <v>0.13044880859999999</v>
      </c>
      <c r="K36" s="72">
        <f t="shared" si="3"/>
        <v>2.6089761719999998</v>
      </c>
      <c r="L36" s="72">
        <f t="shared" si="4"/>
        <v>20</v>
      </c>
      <c r="M36" s="56"/>
      <c r="N36" s="56"/>
      <c r="O36" s="56"/>
    </row>
    <row r="37" spans="1:15" x14ac:dyDescent="0.25">
      <c r="A37" s="8">
        <v>3</v>
      </c>
      <c r="B37" s="8">
        <v>7</v>
      </c>
      <c r="C37" s="8" t="s">
        <v>59</v>
      </c>
      <c r="D37" s="8" t="s">
        <v>62</v>
      </c>
      <c r="E37" s="8" t="s">
        <v>53</v>
      </c>
      <c r="F37" s="8">
        <v>25</v>
      </c>
      <c r="G37" s="8">
        <v>15</v>
      </c>
      <c r="H37" s="11">
        <f t="shared" si="5"/>
        <v>4.9087499999999999E-2</v>
      </c>
      <c r="I37" s="72">
        <f t="shared" si="1"/>
        <v>0.9817499999999999</v>
      </c>
      <c r="J37" s="11">
        <f t="shared" si="11"/>
        <v>0.28452831719999999</v>
      </c>
      <c r="K37" s="72">
        <f t="shared" si="3"/>
        <v>5.6905663439999996</v>
      </c>
      <c r="L37" s="72">
        <f t="shared" si="4"/>
        <v>20</v>
      </c>
      <c r="M37" s="56"/>
      <c r="N37" s="56"/>
      <c r="O37" s="56"/>
    </row>
    <row r="38" spans="1:15" x14ac:dyDescent="0.25">
      <c r="A38" s="8">
        <v>3</v>
      </c>
      <c r="B38" s="8">
        <v>8</v>
      </c>
      <c r="C38" s="8" t="s">
        <v>67</v>
      </c>
      <c r="D38" s="8" t="s">
        <v>64</v>
      </c>
      <c r="E38" s="8" t="s">
        <v>52</v>
      </c>
      <c r="F38" s="8">
        <v>18</v>
      </c>
      <c r="G38" s="8">
        <v>15</v>
      </c>
      <c r="H38" s="11">
        <f t="shared" si="5"/>
        <v>2.5446959999999998E-2</v>
      </c>
      <c r="I38" s="72">
        <f t="shared" si="1"/>
        <v>0.50893919999999992</v>
      </c>
      <c r="J38" s="11">
        <f>(0.0050811768+0.0000286052*(F38^2*G38))</f>
        <v>0.1441024488</v>
      </c>
      <c r="K38" s="72">
        <f t="shared" si="3"/>
        <v>2.8820489760000001</v>
      </c>
      <c r="L38" s="72">
        <f t="shared" si="4"/>
        <v>20</v>
      </c>
      <c r="M38" s="56"/>
      <c r="N38" s="56"/>
      <c r="O38" s="56"/>
    </row>
    <row r="39" spans="1:15" x14ac:dyDescent="0.25">
      <c r="A39" s="8">
        <v>3</v>
      </c>
      <c r="B39" s="8">
        <v>9</v>
      </c>
      <c r="C39" s="8" t="s">
        <v>59</v>
      </c>
      <c r="D39" s="8" t="s">
        <v>62</v>
      </c>
      <c r="E39" s="8" t="s">
        <v>53</v>
      </c>
      <c r="F39" s="8">
        <v>23</v>
      </c>
      <c r="G39" s="8">
        <v>14</v>
      </c>
      <c r="H39" s="11">
        <f t="shared" si="5"/>
        <v>4.154766E-2</v>
      </c>
      <c r="I39" s="72">
        <f t="shared" si="1"/>
        <v>0.83095319999999995</v>
      </c>
      <c r="J39" s="11">
        <f>(0.0134651922+0.0000289134*(F39^2*G39))</f>
        <v>0.22759783259999999</v>
      </c>
      <c r="K39" s="72">
        <f t="shared" si="3"/>
        <v>4.5519566519999994</v>
      </c>
      <c r="L39" s="72">
        <f t="shared" si="4"/>
        <v>20</v>
      </c>
      <c r="M39" s="56"/>
      <c r="N39" s="56"/>
      <c r="O39" s="56"/>
    </row>
    <row r="40" spans="1:15" x14ac:dyDescent="0.25">
      <c r="A40" s="8">
        <v>3</v>
      </c>
      <c r="B40" s="8">
        <v>10</v>
      </c>
      <c r="C40" s="8" t="s">
        <v>66</v>
      </c>
      <c r="D40" s="8" t="s">
        <v>61</v>
      </c>
      <c r="E40" s="8" t="s">
        <v>53</v>
      </c>
      <c r="F40" s="8">
        <v>20</v>
      </c>
      <c r="G40" s="8">
        <v>14</v>
      </c>
      <c r="H40" s="11">
        <f t="shared" si="5"/>
        <v>3.1416000000000006E-2</v>
      </c>
      <c r="I40" s="72">
        <f t="shared" si="1"/>
        <v>0.6283200000000001</v>
      </c>
      <c r="J40" s="11">
        <f>(0.0197725259+0.0000288708*(F40^2*G40))</f>
        <v>0.18144900590000002</v>
      </c>
      <c r="K40" s="72">
        <f t="shared" si="3"/>
        <v>3.6289801180000003</v>
      </c>
      <c r="L40" s="72">
        <f t="shared" si="4"/>
        <v>20</v>
      </c>
      <c r="M40" s="56"/>
      <c r="N40" s="56"/>
      <c r="O40" s="56"/>
    </row>
    <row r="41" spans="1:15" x14ac:dyDescent="0.25">
      <c r="A41" s="8">
        <v>3</v>
      </c>
      <c r="B41" s="8">
        <v>11</v>
      </c>
      <c r="C41" s="8" t="s">
        <v>59</v>
      </c>
      <c r="D41" s="8" t="s">
        <v>62</v>
      </c>
      <c r="E41" s="8" t="s">
        <v>52</v>
      </c>
      <c r="F41" s="8">
        <v>17</v>
      </c>
      <c r="G41" s="8">
        <v>13</v>
      </c>
      <c r="H41" s="11">
        <f t="shared" si="5"/>
        <v>2.2698060000000003E-2</v>
      </c>
      <c r="I41" s="72">
        <f t="shared" si="1"/>
        <v>0.45396120000000001</v>
      </c>
      <c r="J41" s="11">
        <f>(0.0134651922+0.0000289134*(F41^2*G41))</f>
        <v>0.12209283600000001</v>
      </c>
      <c r="K41" s="72">
        <f t="shared" si="3"/>
        <v>2.4418567200000001</v>
      </c>
      <c r="L41" s="72">
        <f t="shared" si="4"/>
        <v>20</v>
      </c>
      <c r="M41" s="56"/>
      <c r="N41" s="56"/>
      <c r="O41" s="56"/>
    </row>
    <row r="42" spans="1:15" x14ac:dyDescent="0.25">
      <c r="A42" s="8">
        <v>3</v>
      </c>
      <c r="B42" s="8">
        <v>12</v>
      </c>
      <c r="C42" s="8" t="s">
        <v>54</v>
      </c>
      <c r="D42" s="8" t="s">
        <v>55</v>
      </c>
      <c r="E42" s="8" t="s">
        <v>52</v>
      </c>
      <c r="F42" s="8">
        <v>14</v>
      </c>
      <c r="G42" s="8">
        <v>7</v>
      </c>
      <c r="H42" s="11">
        <f t="shared" si="5"/>
        <v>1.5393840000000002E-2</v>
      </c>
      <c r="I42" s="72">
        <f t="shared" si="1"/>
        <v>0.30787680000000001</v>
      </c>
      <c r="J42" s="11">
        <f>(0.108337266+0.000046499*(F42^2*G42))</f>
        <v>0.17213389400000001</v>
      </c>
      <c r="K42" s="72">
        <f t="shared" si="3"/>
        <v>3.4426778800000002</v>
      </c>
      <c r="L42" s="72">
        <f t="shared" si="4"/>
        <v>20</v>
      </c>
      <c r="M42" s="56"/>
      <c r="N42" s="56"/>
      <c r="O42" s="56"/>
    </row>
    <row r="43" spans="1:15" x14ac:dyDescent="0.25">
      <c r="A43" s="8">
        <v>3</v>
      </c>
      <c r="B43" s="8">
        <v>13</v>
      </c>
      <c r="C43" s="8" t="s">
        <v>60</v>
      </c>
      <c r="D43" s="73" t="s">
        <v>68</v>
      </c>
      <c r="E43" s="8" t="s">
        <v>52</v>
      </c>
      <c r="F43" s="8">
        <v>14</v>
      </c>
      <c r="G43" s="8">
        <v>8</v>
      </c>
      <c r="H43" s="11">
        <f t="shared" si="5"/>
        <v>1.5393840000000002E-2</v>
      </c>
      <c r="I43" s="72">
        <f t="shared" si="1"/>
        <v>0.30787680000000001</v>
      </c>
      <c r="J43" s="11">
        <f>(0.108337266+0.000046499*(F43^2*G43))</f>
        <v>0.18124769800000001</v>
      </c>
      <c r="K43" s="72">
        <f t="shared" si="3"/>
        <v>3.62495396</v>
      </c>
      <c r="L43" s="72">
        <f t="shared" si="4"/>
        <v>20</v>
      </c>
      <c r="M43" s="56"/>
      <c r="N43" s="56"/>
      <c r="O43" s="56"/>
    </row>
    <row r="44" spans="1:15" x14ac:dyDescent="0.25">
      <c r="A44" s="8">
        <v>4</v>
      </c>
      <c r="B44" s="8">
        <v>1</v>
      </c>
      <c r="C44" s="8" t="s">
        <v>59</v>
      </c>
      <c r="D44" s="8" t="s">
        <v>62</v>
      </c>
      <c r="E44" s="8" t="s">
        <v>52</v>
      </c>
      <c r="F44" s="8">
        <v>17.5</v>
      </c>
      <c r="G44" s="8">
        <v>13</v>
      </c>
      <c r="H44" s="11">
        <f t="shared" ref="H44:H85" si="12">0.7854*(F44/100)^2</f>
        <v>2.4052874999999998E-2</v>
      </c>
      <c r="I44" s="72">
        <f t="shared" si="1"/>
        <v>0.48105749999999992</v>
      </c>
      <c r="J44" s="11">
        <f t="shared" ref="J44:J49" si="13">(0.0134651922+0.0000289134*(F44^2*G44))</f>
        <v>0.12857666595</v>
      </c>
      <c r="K44" s="72">
        <f t="shared" si="3"/>
        <v>2.5715333189999998</v>
      </c>
      <c r="L44" s="72">
        <f t="shared" si="4"/>
        <v>20</v>
      </c>
      <c r="M44" s="56"/>
      <c r="N44" s="56"/>
      <c r="O44" s="56"/>
    </row>
    <row r="45" spans="1:15" x14ac:dyDescent="0.25">
      <c r="A45" s="8">
        <v>4</v>
      </c>
      <c r="B45" s="8">
        <v>2</v>
      </c>
      <c r="C45" s="8" t="s">
        <v>59</v>
      </c>
      <c r="D45" s="8" t="s">
        <v>62</v>
      </c>
      <c r="E45" s="8" t="s">
        <v>52</v>
      </c>
      <c r="F45" s="8">
        <v>18.5</v>
      </c>
      <c r="G45" s="8">
        <v>15</v>
      </c>
      <c r="H45" s="11">
        <f t="shared" si="12"/>
        <v>2.6880314999999998E-2</v>
      </c>
      <c r="I45" s="72">
        <f t="shared" si="1"/>
        <v>0.53760629999999998</v>
      </c>
      <c r="J45" s="11">
        <f t="shared" si="13"/>
        <v>0.16189935945</v>
      </c>
      <c r="K45" s="72">
        <f t="shared" si="3"/>
        <v>3.237987189</v>
      </c>
      <c r="L45" s="72">
        <f t="shared" si="4"/>
        <v>20</v>
      </c>
      <c r="M45" s="56"/>
      <c r="N45" s="56"/>
      <c r="O45" s="56"/>
    </row>
    <row r="46" spans="1:15" x14ac:dyDescent="0.25">
      <c r="A46" s="8">
        <v>4</v>
      </c>
      <c r="B46" s="8">
        <v>3</v>
      </c>
      <c r="C46" s="8" t="s">
        <v>59</v>
      </c>
      <c r="D46" s="8" t="s">
        <v>62</v>
      </c>
      <c r="E46" s="8" t="s">
        <v>53</v>
      </c>
      <c r="F46" s="8">
        <v>22.2</v>
      </c>
      <c r="G46" s="8">
        <v>10</v>
      </c>
      <c r="H46" s="11">
        <f t="shared" si="12"/>
        <v>3.8707653600000003E-2</v>
      </c>
      <c r="I46" s="72">
        <f t="shared" si="1"/>
        <v>0.77415307200000005</v>
      </c>
      <c r="J46" s="11">
        <f t="shared" si="13"/>
        <v>0.15596199276</v>
      </c>
      <c r="K46" s="72">
        <f t="shared" si="3"/>
        <v>3.1192398552</v>
      </c>
      <c r="L46" s="72">
        <f t="shared" si="4"/>
        <v>20</v>
      </c>
      <c r="M46" s="56"/>
      <c r="N46" s="56"/>
      <c r="O46" s="56"/>
    </row>
    <row r="47" spans="1:15" x14ac:dyDescent="0.25">
      <c r="A47" s="8">
        <v>4</v>
      </c>
      <c r="B47" s="8">
        <v>4</v>
      </c>
      <c r="C47" s="8" t="s">
        <v>59</v>
      </c>
      <c r="D47" s="8" t="s">
        <v>62</v>
      </c>
      <c r="E47" s="8" t="s">
        <v>52</v>
      </c>
      <c r="F47" s="8">
        <v>15.5</v>
      </c>
      <c r="G47" s="8">
        <v>14</v>
      </c>
      <c r="H47" s="11">
        <f t="shared" si="12"/>
        <v>1.8869235000000002E-2</v>
      </c>
      <c r="I47" s="72">
        <f t="shared" si="1"/>
        <v>0.37738470000000002</v>
      </c>
      <c r="J47" s="11">
        <f t="shared" si="13"/>
        <v>0.11071541310000001</v>
      </c>
      <c r="K47" s="72">
        <f t="shared" si="3"/>
        <v>2.2143082619999999</v>
      </c>
      <c r="L47" s="72">
        <f t="shared" si="4"/>
        <v>20</v>
      </c>
      <c r="M47" s="56"/>
      <c r="N47" s="56"/>
      <c r="O47" s="56"/>
    </row>
    <row r="48" spans="1:15" x14ac:dyDescent="0.25">
      <c r="A48" s="8">
        <v>4</v>
      </c>
      <c r="B48" s="8">
        <v>5</v>
      </c>
      <c r="C48" s="8" t="s">
        <v>59</v>
      </c>
      <c r="D48" s="8" t="s">
        <v>62</v>
      </c>
      <c r="E48" s="8" t="s">
        <v>52</v>
      </c>
      <c r="F48" s="8">
        <v>12.4</v>
      </c>
      <c r="G48" s="8">
        <v>10</v>
      </c>
      <c r="H48" s="11">
        <f t="shared" si="12"/>
        <v>1.2076310399999998E-2</v>
      </c>
      <c r="I48" s="72">
        <f t="shared" si="1"/>
        <v>0.24152620799999996</v>
      </c>
      <c r="J48" s="11">
        <f t="shared" si="13"/>
        <v>5.7922436039999997E-2</v>
      </c>
      <c r="K48" s="72">
        <f t="shared" si="3"/>
        <v>1.1584487207999998</v>
      </c>
      <c r="L48" s="72">
        <f t="shared" si="4"/>
        <v>20</v>
      </c>
      <c r="M48" s="56"/>
      <c r="N48" s="56"/>
      <c r="O48" s="56"/>
    </row>
    <row r="49" spans="1:15" x14ac:dyDescent="0.25">
      <c r="A49" s="8">
        <v>4</v>
      </c>
      <c r="B49" s="8">
        <v>6</v>
      </c>
      <c r="C49" s="8" t="s">
        <v>59</v>
      </c>
      <c r="D49" s="8" t="s">
        <v>62</v>
      </c>
      <c r="E49" s="8" t="s">
        <v>52</v>
      </c>
      <c r="F49" s="8">
        <v>15.1</v>
      </c>
      <c r="G49" s="8">
        <v>13</v>
      </c>
      <c r="H49" s="11">
        <f t="shared" si="12"/>
        <v>1.79079054E-2</v>
      </c>
      <c r="I49" s="72">
        <f t="shared" si="1"/>
        <v>0.35815810799999998</v>
      </c>
      <c r="J49" s="11">
        <f t="shared" si="13"/>
        <v>9.9168268542000004E-2</v>
      </c>
      <c r="K49" s="72">
        <f t="shared" si="3"/>
        <v>1.9833653708400001</v>
      </c>
      <c r="L49" s="72">
        <f t="shared" si="4"/>
        <v>20</v>
      </c>
      <c r="M49" s="56"/>
      <c r="N49" s="56"/>
      <c r="O49" s="56"/>
    </row>
    <row r="50" spans="1:15" x14ac:dyDescent="0.25">
      <c r="A50" s="8">
        <v>4</v>
      </c>
      <c r="B50" s="8">
        <v>7</v>
      </c>
      <c r="C50" s="8" t="s">
        <v>67</v>
      </c>
      <c r="D50" s="8" t="s">
        <v>64</v>
      </c>
      <c r="E50" s="8" t="s">
        <v>52</v>
      </c>
      <c r="F50" s="8">
        <v>11.5</v>
      </c>
      <c r="G50" s="8">
        <v>14</v>
      </c>
      <c r="H50" s="11">
        <f t="shared" si="12"/>
        <v>1.0386915E-2</v>
      </c>
      <c r="I50" s="72">
        <f t="shared" si="1"/>
        <v>0.20773829999999999</v>
      </c>
      <c r="J50" s="11">
        <f>(0.0050811768+0.0000286052*(F50^2*G50))</f>
        <v>5.8043704599999996E-2</v>
      </c>
      <c r="K50" s="72">
        <f t="shared" si="3"/>
        <v>1.1608740919999998</v>
      </c>
      <c r="L50" s="72">
        <f t="shared" si="4"/>
        <v>20</v>
      </c>
      <c r="M50" s="56"/>
      <c r="N50" s="56"/>
      <c r="O50" s="56"/>
    </row>
    <row r="51" spans="1:15" x14ac:dyDescent="0.25">
      <c r="A51" s="8">
        <v>4</v>
      </c>
      <c r="B51" s="8">
        <v>8</v>
      </c>
      <c r="C51" s="8" t="s">
        <v>59</v>
      </c>
      <c r="D51" s="8" t="s">
        <v>62</v>
      </c>
      <c r="E51" s="8" t="s">
        <v>52</v>
      </c>
      <c r="F51" s="8">
        <v>14.7</v>
      </c>
      <c r="G51" s="8">
        <v>14</v>
      </c>
      <c r="H51" s="11">
        <f t="shared" si="12"/>
        <v>1.6971708599999996E-2</v>
      </c>
      <c r="I51" s="72">
        <f t="shared" si="1"/>
        <v>0.33943417199999992</v>
      </c>
      <c r="J51" s="11">
        <f>(0.0134651922+0.0000289134*(F51^2*G51))</f>
        <v>0.100935744684</v>
      </c>
      <c r="K51" s="72">
        <f t="shared" si="3"/>
        <v>2.0187148936799999</v>
      </c>
      <c r="L51" s="72">
        <f t="shared" si="4"/>
        <v>20</v>
      </c>
      <c r="M51" s="56"/>
      <c r="N51" s="56"/>
      <c r="O51" s="56"/>
    </row>
    <row r="52" spans="1:15" x14ac:dyDescent="0.25">
      <c r="A52" s="8">
        <v>4</v>
      </c>
      <c r="B52" s="8">
        <v>9</v>
      </c>
      <c r="C52" s="8" t="s">
        <v>54</v>
      </c>
      <c r="D52" s="8" t="s">
        <v>55</v>
      </c>
      <c r="E52" s="8" t="s">
        <v>52</v>
      </c>
      <c r="F52" s="8">
        <v>17.5</v>
      </c>
      <c r="G52" s="8">
        <v>9</v>
      </c>
      <c r="H52" s="11">
        <f t="shared" si="12"/>
        <v>2.4052874999999998E-2</v>
      </c>
      <c r="I52" s="72">
        <f t="shared" si="1"/>
        <v>0.48105749999999992</v>
      </c>
      <c r="J52" s="11">
        <f t="shared" ref="J52:J54" si="14">(0.108337266+0.000046499*(F52^2*G52))</f>
        <v>0.23650013475000004</v>
      </c>
      <c r="K52" s="72">
        <f t="shared" si="3"/>
        <v>4.7300026950000005</v>
      </c>
      <c r="L52" s="72">
        <f t="shared" si="4"/>
        <v>20</v>
      </c>
      <c r="M52" s="56"/>
      <c r="N52" s="56"/>
      <c r="O52" s="56"/>
    </row>
    <row r="53" spans="1:15" x14ac:dyDescent="0.25">
      <c r="A53" s="8">
        <v>4</v>
      </c>
      <c r="B53" s="8">
        <v>10</v>
      </c>
      <c r="C53" s="8" t="s">
        <v>54</v>
      </c>
      <c r="D53" s="8" t="s">
        <v>55</v>
      </c>
      <c r="E53" s="8" t="s">
        <v>52</v>
      </c>
      <c r="F53" s="8">
        <v>19.8</v>
      </c>
      <c r="G53" s="8">
        <v>11</v>
      </c>
      <c r="H53" s="11">
        <f t="shared" si="12"/>
        <v>3.0790821600000001E-2</v>
      </c>
      <c r="I53" s="72">
        <f t="shared" si="1"/>
        <v>0.61581643200000002</v>
      </c>
      <c r="J53" s="11">
        <f t="shared" si="14"/>
        <v>0.30886141356000002</v>
      </c>
      <c r="K53" s="72">
        <f t="shared" si="3"/>
        <v>6.1772282711999997</v>
      </c>
      <c r="L53" s="72">
        <f t="shared" si="4"/>
        <v>20</v>
      </c>
      <c r="M53" s="56"/>
      <c r="N53" s="56"/>
      <c r="O53" s="56"/>
    </row>
    <row r="54" spans="1:15" x14ac:dyDescent="0.25">
      <c r="A54" s="8">
        <v>4</v>
      </c>
      <c r="B54" s="8">
        <v>11</v>
      </c>
      <c r="C54" s="8" t="s">
        <v>54</v>
      </c>
      <c r="D54" s="8" t="s">
        <v>55</v>
      </c>
      <c r="E54" s="8" t="s">
        <v>52</v>
      </c>
      <c r="F54" s="8">
        <v>17.600000000000001</v>
      </c>
      <c r="G54" s="8">
        <v>9</v>
      </c>
      <c r="H54" s="11">
        <f t="shared" si="12"/>
        <v>2.4328550400000006E-2</v>
      </c>
      <c r="I54" s="72">
        <f t="shared" si="1"/>
        <v>0.48657100800000008</v>
      </c>
      <c r="J54" s="11">
        <f t="shared" si="14"/>
        <v>0.23796903816000003</v>
      </c>
      <c r="K54" s="72">
        <f t="shared" si="3"/>
        <v>4.7593807632000003</v>
      </c>
      <c r="L54" s="72">
        <f t="shared" si="4"/>
        <v>20</v>
      </c>
      <c r="M54" s="56"/>
      <c r="N54" s="56"/>
      <c r="O54" s="56"/>
    </row>
    <row r="55" spans="1:15" x14ac:dyDescent="0.25">
      <c r="A55" s="8">
        <v>4</v>
      </c>
      <c r="B55" s="8">
        <v>12</v>
      </c>
      <c r="C55" s="8" t="s">
        <v>59</v>
      </c>
      <c r="D55" s="8" t="s">
        <v>62</v>
      </c>
      <c r="E55" s="8" t="s">
        <v>52</v>
      </c>
      <c r="F55" s="8">
        <v>11.5</v>
      </c>
      <c r="G55" s="8">
        <v>10</v>
      </c>
      <c r="H55" s="11">
        <f t="shared" si="12"/>
        <v>1.0386915E-2</v>
      </c>
      <c r="I55" s="72">
        <f t="shared" si="1"/>
        <v>0.20773829999999999</v>
      </c>
      <c r="J55" s="11">
        <f>(0.0134651922+0.0000289134*(F55^2*G55))</f>
        <v>5.1703163699999999E-2</v>
      </c>
      <c r="K55" s="72">
        <f t="shared" si="3"/>
        <v>1.034063274</v>
      </c>
      <c r="L55" s="72">
        <f t="shared" si="4"/>
        <v>20</v>
      </c>
      <c r="M55" s="56"/>
      <c r="N55" s="56"/>
      <c r="O55" s="56"/>
    </row>
    <row r="56" spans="1:15" x14ac:dyDescent="0.25">
      <c r="A56" s="8">
        <v>4</v>
      </c>
      <c r="B56" s="8">
        <v>13</v>
      </c>
      <c r="C56" s="8" t="s">
        <v>54</v>
      </c>
      <c r="D56" s="8" t="s">
        <v>55</v>
      </c>
      <c r="E56" s="8" t="s">
        <v>52</v>
      </c>
      <c r="F56" s="8">
        <v>17.3</v>
      </c>
      <c r="G56" s="8">
        <v>12</v>
      </c>
      <c r="H56" s="11">
        <f t="shared" si="12"/>
        <v>2.3506236600000004E-2</v>
      </c>
      <c r="I56" s="72">
        <f t="shared" si="1"/>
        <v>0.47012473200000005</v>
      </c>
      <c r="J56" s="11">
        <f t="shared" ref="J56:J57" si="15">(0.108337266+0.000046499*(F56^2*G56))</f>
        <v>0.27533749452000006</v>
      </c>
      <c r="K56" s="72">
        <f t="shared" si="3"/>
        <v>5.506749890400001</v>
      </c>
      <c r="L56" s="72">
        <f t="shared" si="4"/>
        <v>20</v>
      </c>
      <c r="M56" s="56"/>
      <c r="N56" s="56"/>
      <c r="O56" s="56"/>
    </row>
    <row r="57" spans="1:15" x14ac:dyDescent="0.25">
      <c r="A57" s="8">
        <v>4</v>
      </c>
      <c r="B57" s="8">
        <v>14</v>
      </c>
      <c r="C57" s="8" t="s">
        <v>54</v>
      </c>
      <c r="D57" s="8" t="s">
        <v>55</v>
      </c>
      <c r="E57" s="8" t="s">
        <v>52</v>
      </c>
      <c r="F57" s="8">
        <v>18</v>
      </c>
      <c r="G57" s="8">
        <v>14</v>
      </c>
      <c r="H57" s="11">
        <f t="shared" si="12"/>
        <v>2.5446959999999998E-2</v>
      </c>
      <c r="I57" s="72">
        <f t="shared" ref="I57:I85" si="16">H57*1/$O$3</f>
        <v>0.50893919999999992</v>
      </c>
      <c r="J57" s="11">
        <f t="shared" si="15"/>
        <v>0.31925672999999999</v>
      </c>
      <c r="K57" s="72">
        <f t="shared" si="3"/>
        <v>6.3851345999999998</v>
      </c>
      <c r="L57" s="72">
        <f t="shared" ref="L57:L85" si="17">1*1/$O$3</f>
        <v>20</v>
      </c>
      <c r="M57" s="56"/>
      <c r="N57" s="56"/>
      <c r="O57" s="56"/>
    </row>
    <row r="58" spans="1:15" x14ac:dyDescent="0.25">
      <c r="A58" s="8">
        <v>4</v>
      </c>
      <c r="B58" s="8">
        <v>15</v>
      </c>
      <c r="C58" s="8" t="s">
        <v>59</v>
      </c>
      <c r="D58" s="8" t="s">
        <v>62</v>
      </c>
      <c r="E58" s="8" t="s">
        <v>52</v>
      </c>
      <c r="F58" s="8">
        <v>14.7</v>
      </c>
      <c r="G58" s="8">
        <v>15</v>
      </c>
      <c r="H58" s="11">
        <f t="shared" si="12"/>
        <v>1.6971708599999996E-2</v>
      </c>
      <c r="I58" s="72">
        <f t="shared" si="16"/>
        <v>0.33943417199999992</v>
      </c>
      <c r="J58" s="11">
        <f>(0.0134651922+0.0000289134*(F58^2*G58))</f>
        <v>0.10718364128999999</v>
      </c>
      <c r="K58" s="72">
        <f t="shared" si="3"/>
        <v>2.1436728257999995</v>
      </c>
      <c r="L58" s="72">
        <f t="shared" si="17"/>
        <v>20</v>
      </c>
      <c r="M58" s="56"/>
      <c r="N58" s="56"/>
      <c r="O58" s="56"/>
    </row>
    <row r="59" spans="1:15" x14ac:dyDescent="0.25">
      <c r="A59" s="8">
        <v>4</v>
      </c>
      <c r="B59" s="8">
        <v>16</v>
      </c>
      <c r="C59" s="8" t="s">
        <v>54</v>
      </c>
      <c r="D59" s="8" t="s">
        <v>55</v>
      </c>
      <c r="E59" s="8" t="s">
        <v>52</v>
      </c>
      <c r="F59" s="8">
        <v>16</v>
      </c>
      <c r="G59" s="8">
        <v>9</v>
      </c>
      <c r="H59" s="11">
        <f t="shared" si="12"/>
        <v>2.0106240000000001E-2</v>
      </c>
      <c r="I59" s="72">
        <f t="shared" si="16"/>
        <v>0.4021248</v>
      </c>
      <c r="J59" s="11">
        <f>(0.108337266+0.000046499*(F59^2*G59))</f>
        <v>0.21547096199999999</v>
      </c>
      <c r="K59" s="72">
        <f t="shared" si="3"/>
        <v>4.3094192399999995</v>
      </c>
      <c r="L59" s="72">
        <f t="shared" si="17"/>
        <v>20</v>
      </c>
      <c r="M59" s="56"/>
      <c r="N59" s="56"/>
      <c r="O59" s="56"/>
    </row>
    <row r="60" spans="1:15" x14ac:dyDescent="0.25">
      <c r="A60" s="8">
        <v>4</v>
      </c>
      <c r="B60" s="8">
        <v>17</v>
      </c>
      <c r="C60" s="8" t="s">
        <v>67</v>
      </c>
      <c r="D60" s="8" t="s">
        <v>64</v>
      </c>
      <c r="E60" s="8" t="s">
        <v>52</v>
      </c>
      <c r="F60" s="8">
        <v>15</v>
      </c>
      <c r="G60" s="8">
        <v>9</v>
      </c>
      <c r="H60" s="11">
        <f t="shared" si="12"/>
        <v>1.76715E-2</v>
      </c>
      <c r="I60" s="72">
        <f t="shared" si="16"/>
        <v>0.35342999999999997</v>
      </c>
      <c r="J60" s="11">
        <f t="shared" ref="J60:J61" si="18">(0.0050811768+0.0000286052*(F60^2*G60))</f>
        <v>6.3006706799999992E-2</v>
      </c>
      <c r="K60" s="72">
        <f t="shared" si="3"/>
        <v>1.2601341359999998</v>
      </c>
      <c r="L60" s="72">
        <f t="shared" si="17"/>
        <v>20</v>
      </c>
      <c r="M60" s="56"/>
      <c r="N60" s="56"/>
      <c r="O60" s="56"/>
    </row>
    <row r="61" spans="1:15" x14ac:dyDescent="0.25">
      <c r="A61" s="8">
        <v>4</v>
      </c>
      <c r="B61" s="8">
        <v>18</v>
      </c>
      <c r="C61" s="8" t="s">
        <v>67</v>
      </c>
      <c r="D61" s="8" t="s">
        <v>64</v>
      </c>
      <c r="E61" s="8" t="s">
        <v>52</v>
      </c>
      <c r="F61" s="8">
        <v>13.5</v>
      </c>
      <c r="G61" s="8">
        <v>9</v>
      </c>
      <c r="H61" s="11">
        <f t="shared" si="12"/>
        <v>1.4313915000000002E-2</v>
      </c>
      <c r="I61" s="72">
        <f t="shared" si="16"/>
        <v>0.28627830000000004</v>
      </c>
      <c r="J61" s="11">
        <f t="shared" si="18"/>
        <v>5.2000856099999992E-2</v>
      </c>
      <c r="K61" s="72">
        <f t="shared" si="3"/>
        <v>1.0400171219999998</v>
      </c>
      <c r="L61" s="72">
        <f t="shared" si="17"/>
        <v>20</v>
      </c>
      <c r="M61" s="56"/>
      <c r="N61" s="56"/>
      <c r="O61" s="56"/>
    </row>
    <row r="62" spans="1:15" x14ac:dyDescent="0.25">
      <c r="A62" s="8">
        <v>4</v>
      </c>
      <c r="B62" s="8">
        <v>19</v>
      </c>
      <c r="C62" s="8" t="s">
        <v>60</v>
      </c>
      <c r="D62" s="73" t="s">
        <v>68</v>
      </c>
      <c r="E62" s="8" t="s">
        <v>52</v>
      </c>
      <c r="F62" s="8">
        <v>11.8</v>
      </c>
      <c r="G62" s="8">
        <v>7</v>
      </c>
      <c r="H62" s="11">
        <f t="shared" si="12"/>
        <v>1.0935909600000002E-2</v>
      </c>
      <c r="I62" s="72">
        <f t="shared" si="16"/>
        <v>0.21871819200000003</v>
      </c>
      <c r="J62" s="11">
        <f t="shared" ref="J62:J63" si="19">(0.108337266+0.000046499*(F62^2*G62))</f>
        <v>0.15365891132000001</v>
      </c>
      <c r="K62" s="72">
        <f t="shared" si="3"/>
        <v>3.0731782264</v>
      </c>
      <c r="L62" s="72">
        <f t="shared" si="17"/>
        <v>20</v>
      </c>
      <c r="M62" s="56"/>
      <c r="N62" s="56"/>
      <c r="O62" s="56"/>
    </row>
    <row r="63" spans="1:15" x14ac:dyDescent="0.25">
      <c r="A63" s="8">
        <v>4</v>
      </c>
      <c r="B63" s="8">
        <v>20</v>
      </c>
      <c r="C63" s="8" t="s">
        <v>60</v>
      </c>
      <c r="D63" s="73" t="s">
        <v>68</v>
      </c>
      <c r="E63" s="8" t="s">
        <v>52</v>
      </c>
      <c r="F63" s="8">
        <v>11.3</v>
      </c>
      <c r="G63" s="8">
        <v>7</v>
      </c>
      <c r="H63" s="11">
        <f t="shared" si="12"/>
        <v>1.0028772600000001E-2</v>
      </c>
      <c r="I63" s="72">
        <f t="shared" si="16"/>
        <v>0.20057545200000002</v>
      </c>
      <c r="J63" s="11">
        <f t="shared" si="19"/>
        <v>0.14989946717000002</v>
      </c>
      <c r="K63" s="72">
        <f t="shared" si="3"/>
        <v>2.9979893434000005</v>
      </c>
      <c r="L63" s="72">
        <f t="shared" si="17"/>
        <v>20</v>
      </c>
      <c r="M63" s="56"/>
      <c r="N63" s="56"/>
      <c r="O63" s="56"/>
    </row>
    <row r="64" spans="1:15" x14ac:dyDescent="0.25">
      <c r="A64" s="8">
        <v>5</v>
      </c>
      <c r="B64" s="8">
        <v>1</v>
      </c>
      <c r="C64" s="8" t="s">
        <v>66</v>
      </c>
      <c r="D64" s="8" t="s">
        <v>61</v>
      </c>
      <c r="E64" s="8" t="s">
        <v>53</v>
      </c>
      <c r="F64" s="8">
        <v>28</v>
      </c>
      <c r="G64" s="8">
        <v>16</v>
      </c>
      <c r="H64" s="11">
        <f t="shared" si="12"/>
        <v>6.157536000000001E-2</v>
      </c>
      <c r="I64" s="72">
        <f t="shared" si="16"/>
        <v>1.2315072</v>
      </c>
      <c r="J64" s="11">
        <f>(0.0197725259+0.0000288708*(F64^2*G64))</f>
        <v>0.3819278411</v>
      </c>
      <c r="K64" s="72">
        <f t="shared" si="3"/>
        <v>7.638556822</v>
      </c>
      <c r="L64" s="72">
        <f t="shared" si="17"/>
        <v>20</v>
      </c>
      <c r="M64" s="56"/>
      <c r="N64" s="56"/>
      <c r="O64" s="56"/>
    </row>
    <row r="65" spans="1:15" x14ac:dyDescent="0.25">
      <c r="A65" s="8">
        <v>5</v>
      </c>
      <c r="B65" s="8">
        <v>2</v>
      </c>
      <c r="C65" s="8" t="s">
        <v>67</v>
      </c>
      <c r="D65" s="8" t="s">
        <v>64</v>
      </c>
      <c r="E65" s="8" t="s">
        <v>52</v>
      </c>
      <c r="F65" s="8">
        <v>16</v>
      </c>
      <c r="G65" s="8">
        <v>12</v>
      </c>
      <c r="H65" s="11">
        <f t="shared" si="12"/>
        <v>2.0106240000000001E-2</v>
      </c>
      <c r="I65" s="72">
        <f t="shared" si="16"/>
        <v>0.4021248</v>
      </c>
      <c r="J65" s="11">
        <f t="shared" ref="J65:J66" si="20">(0.0050811768+0.0000286052*(F65^2*G65))</f>
        <v>9.2956351199999995E-2</v>
      </c>
      <c r="K65" s="72">
        <f t="shared" si="3"/>
        <v>1.8591270239999997</v>
      </c>
      <c r="L65" s="72">
        <f t="shared" si="17"/>
        <v>20</v>
      </c>
      <c r="M65" s="56"/>
      <c r="N65" s="56"/>
      <c r="O65" s="56"/>
    </row>
    <row r="66" spans="1:15" x14ac:dyDescent="0.25">
      <c r="A66" s="8">
        <v>5</v>
      </c>
      <c r="B66" s="8">
        <v>3</v>
      </c>
      <c r="C66" s="8" t="s">
        <v>67</v>
      </c>
      <c r="D66" s="8" t="s">
        <v>64</v>
      </c>
      <c r="E66" s="8" t="s">
        <v>52</v>
      </c>
      <c r="F66" s="8">
        <v>17</v>
      </c>
      <c r="G66" s="8">
        <v>12</v>
      </c>
      <c r="H66" s="11">
        <f t="shared" si="12"/>
        <v>2.2698060000000003E-2</v>
      </c>
      <c r="I66" s="72">
        <f t="shared" si="16"/>
        <v>0.45396120000000001</v>
      </c>
      <c r="J66" s="11">
        <f t="shared" si="20"/>
        <v>0.1042840104</v>
      </c>
      <c r="K66" s="72">
        <f t="shared" si="3"/>
        <v>2.0856802079999999</v>
      </c>
      <c r="L66" s="72">
        <f t="shared" si="17"/>
        <v>20</v>
      </c>
      <c r="M66" s="56"/>
      <c r="N66" s="56"/>
      <c r="O66" s="56"/>
    </row>
    <row r="67" spans="1:15" x14ac:dyDescent="0.25">
      <c r="A67" s="8">
        <v>5</v>
      </c>
      <c r="B67" s="8">
        <v>4</v>
      </c>
      <c r="C67" s="8" t="s">
        <v>59</v>
      </c>
      <c r="D67" s="8" t="s">
        <v>62</v>
      </c>
      <c r="E67" s="8" t="s">
        <v>52</v>
      </c>
      <c r="F67" s="8">
        <v>17</v>
      </c>
      <c r="G67" s="8">
        <v>14</v>
      </c>
      <c r="H67" s="11">
        <f t="shared" si="12"/>
        <v>2.2698060000000003E-2</v>
      </c>
      <c r="I67" s="72">
        <f t="shared" si="16"/>
        <v>0.45396120000000001</v>
      </c>
      <c r="J67" s="11">
        <f t="shared" ref="J67:J71" si="21">(0.0134651922+0.0000289134*(F67^2*G67))</f>
        <v>0.13044880859999999</v>
      </c>
      <c r="K67" s="72">
        <f t="shared" ref="K67:K85" si="22">J67/$O$3</f>
        <v>2.6089761719999998</v>
      </c>
      <c r="L67" s="72">
        <f t="shared" si="17"/>
        <v>20</v>
      </c>
      <c r="M67" s="56"/>
      <c r="N67" s="56"/>
      <c r="O67" s="56"/>
    </row>
    <row r="68" spans="1:15" x14ac:dyDescent="0.25">
      <c r="A68" s="8">
        <v>5</v>
      </c>
      <c r="B68" s="8">
        <v>5</v>
      </c>
      <c r="C68" s="8" t="s">
        <v>59</v>
      </c>
      <c r="D68" s="8" t="s">
        <v>62</v>
      </c>
      <c r="E68" s="8" t="s">
        <v>52</v>
      </c>
      <c r="F68" s="8">
        <v>15</v>
      </c>
      <c r="G68" s="8">
        <v>13</v>
      </c>
      <c r="H68" s="11">
        <f t="shared" si="12"/>
        <v>1.76715E-2</v>
      </c>
      <c r="I68" s="72">
        <f t="shared" si="16"/>
        <v>0.35342999999999997</v>
      </c>
      <c r="J68" s="11">
        <f t="shared" si="21"/>
        <v>9.8036887200000006E-2</v>
      </c>
      <c r="K68" s="72">
        <f t="shared" si="22"/>
        <v>1.960737744</v>
      </c>
      <c r="L68" s="72">
        <f t="shared" si="17"/>
        <v>20</v>
      </c>
      <c r="M68" s="56"/>
      <c r="N68" s="56"/>
      <c r="O68" s="56"/>
    </row>
    <row r="69" spans="1:15" s="1" customFormat="1" x14ac:dyDescent="0.25">
      <c r="A69" s="8">
        <v>5</v>
      </c>
      <c r="B69" s="8">
        <v>6</v>
      </c>
      <c r="C69" s="8" t="s">
        <v>59</v>
      </c>
      <c r="D69" s="8" t="s">
        <v>62</v>
      </c>
      <c r="E69" s="8" t="s">
        <v>52</v>
      </c>
      <c r="F69" s="74">
        <v>16</v>
      </c>
      <c r="G69" s="74">
        <v>14</v>
      </c>
      <c r="H69" s="11">
        <f t="shared" si="12"/>
        <v>2.0106240000000001E-2</v>
      </c>
      <c r="I69" s="72">
        <f t="shared" si="16"/>
        <v>0.4021248</v>
      </c>
      <c r="J69" s="11">
        <f t="shared" si="21"/>
        <v>0.1170908178</v>
      </c>
      <c r="K69" s="72">
        <f t="shared" si="22"/>
        <v>2.3418163559999998</v>
      </c>
      <c r="L69" s="72">
        <f t="shared" si="17"/>
        <v>20</v>
      </c>
      <c r="M69" s="56"/>
      <c r="N69" s="56"/>
      <c r="O69" s="56"/>
    </row>
    <row r="70" spans="1:15" s="1" customFormat="1" x14ac:dyDescent="0.25">
      <c r="A70" s="8">
        <v>5</v>
      </c>
      <c r="B70" s="8">
        <v>7</v>
      </c>
      <c r="C70" s="8" t="s">
        <v>59</v>
      </c>
      <c r="D70" s="8" t="s">
        <v>62</v>
      </c>
      <c r="E70" s="8" t="s">
        <v>52</v>
      </c>
      <c r="F70" s="74">
        <v>14</v>
      </c>
      <c r="G70" s="74">
        <v>14</v>
      </c>
      <c r="H70" s="11">
        <f t="shared" si="12"/>
        <v>1.5393840000000002E-2</v>
      </c>
      <c r="I70" s="72">
        <f t="shared" si="16"/>
        <v>0.30787680000000001</v>
      </c>
      <c r="J70" s="11">
        <f t="shared" si="21"/>
        <v>9.2803561800000003E-2</v>
      </c>
      <c r="K70" s="72">
        <f t="shared" si="22"/>
        <v>1.856071236</v>
      </c>
      <c r="L70" s="72">
        <f t="shared" si="17"/>
        <v>20</v>
      </c>
      <c r="M70" s="56"/>
      <c r="N70" s="56"/>
      <c r="O70" s="56"/>
    </row>
    <row r="71" spans="1:15" s="1" customFormat="1" x14ac:dyDescent="0.25">
      <c r="A71" s="8">
        <v>5</v>
      </c>
      <c r="B71" s="8">
        <v>8</v>
      </c>
      <c r="C71" s="8" t="s">
        <v>59</v>
      </c>
      <c r="D71" s="8" t="s">
        <v>62</v>
      </c>
      <c r="E71" s="8" t="s">
        <v>52</v>
      </c>
      <c r="F71" s="74">
        <v>15</v>
      </c>
      <c r="G71" s="74">
        <v>16</v>
      </c>
      <c r="H71" s="11">
        <f t="shared" si="12"/>
        <v>1.76715E-2</v>
      </c>
      <c r="I71" s="72">
        <f t="shared" si="16"/>
        <v>0.35342999999999997</v>
      </c>
      <c r="J71" s="11">
        <f t="shared" si="21"/>
        <v>0.1175534322</v>
      </c>
      <c r="K71" s="72">
        <f t="shared" si="22"/>
        <v>2.3510686439999997</v>
      </c>
      <c r="L71" s="72">
        <f t="shared" si="17"/>
        <v>20</v>
      </c>
      <c r="M71" s="56"/>
      <c r="N71" s="56"/>
      <c r="O71" s="56"/>
    </row>
    <row r="72" spans="1:15" x14ac:dyDescent="0.25">
      <c r="A72" s="8">
        <v>5</v>
      </c>
      <c r="B72" s="8">
        <v>9</v>
      </c>
      <c r="C72" s="8" t="s">
        <v>60</v>
      </c>
      <c r="D72" s="73" t="s">
        <v>68</v>
      </c>
      <c r="E72" s="8" t="s">
        <v>52</v>
      </c>
      <c r="F72" s="8">
        <v>18</v>
      </c>
      <c r="G72" s="8">
        <v>12</v>
      </c>
      <c r="H72" s="11">
        <f t="shared" si="12"/>
        <v>2.5446959999999998E-2</v>
      </c>
      <c r="I72" s="72">
        <f t="shared" si="16"/>
        <v>0.50893919999999992</v>
      </c>
      <c r="J72" s="11">
        <f>(0.108337266+0.000046499*(F72^2*G72))</f>
        <v>0.28912537799999999</v>
      </c>
      <c r="K72" s="72">
        <f t="shared" si="22"/>
        <v>5.7825075599999991</v>
      </c>
      <c r="L72" s="72">
        <f t="shared" si="17"/>
        <v>20</v>
      </c>
      <c r="M72" s="56"/>
      <c r="N72" s="56"/>
      <c r="O72" s="56"/>
    </row>
    <row r="73" spans="1:15" x14ac:dyDescent="0.25">
      <c r="A73" s="8">
        <v>5</v>
      </c>
      <c r="B73" s="8">
        <v>10</v>
      </c>
      <c r="C73" s="8" t="s">
        <v>67</v>
      </c>
      <c r="D73" s="8" t="s">
        <v>64</v>
      </c>
      <c r="E73" s="8" t="s">
        <v>52</v>
      </c>
      <c r="F73" s="8">
        <v>17</v>
      </c>
      <c r="G73" s="8">
        <v>14</v>
      </c>
      <c r="H73" s="11">
        <f t="shared" si="12"/>
        <v>2.2698060000000003E-2</v>
      </c>
      <c r="I73" s="72">
        <f t="shared" si="16"/>
        <v>0.45396120000000001</v>
      </c>
      <c r="J73" s="11">
        <f t="shared" ref="J73:J74" si="23">(0.0050811768+0.0000286052*(F73^2*G73))</f>
        <v>0.12081781599999999</v>
      </c>
      <c r="K73" s="72">
        <f t="shared" si="22"/>
        <v>2.4163563199999998</v>
      </c>
      <c r="L73" s="72">
        <f t="shared" si="17"/>
        <v>20</v>
      </c>
      <c r="M73" s="56"/>
      <c r="N73" s="56"/>
      <c r="O73" s="56"/>
    </row>
    <row r="74" spans="1:15" x14ac:dyDescent="0.25">
      <c r="A74" s="8">
        <v>5</v>
      </c>
      <c r="B74" s="8">
        <v>11</v>
      </c>
      <c r="C74" s="8" t="s">
        <v>67</v>
      </c>
      <c r="D74" s="8" t="s">
        <v>64</v>
      </c>
      <c r="E74" s="8" t="s">
        <v>52</v>
      </c>
      <c r="F74" s="8">
        <v>19</v>
      </c>
      <c r="G74" s="8">
        <v>14</v>
      </c>
      <c r="H74" s="11">
        <f t="shared" si="12"/>
        <v>2.835294E-2</v>
      </c>
      <c r="I74" s="72">
        <f t="shared" si="16"/>
        <v>0.56705879999999997</v>
      </c>
      <c r="J74" s="11">
        <f t="shared" si="23"/>
        <v>0.14965185759999999</v>
      </c>
      <c r="K74" s="72">
        <f t="shared" si="22"/>
        <v>2.9930371519999999</v>
      </c>
      <c r="L74" s="72">
        <f t="shared" si="17"/>
        <v>20</v>
      </c>
      <c r="M74" s="56"/>
      <c r="N74" s="56"/>
      <c r="O74" s="56"/>
    </row>
    <row r="75" spans="1:15" x14ac:dyDescent="0.25">
      <c r="A75" s="8">
        <v>5</v>
      </c>
      <c r="B75" s="8">
        <v>12</v>
      </c>
      <c r="C75" s="8" t="s">
        <v>60</v>
      </c>
      <c r="D75" s="73" t="s">
        <v>68</v>
      </c>
      <c r="E75" s="8" t="s">
        <v>53</v>
      </c>
      <c r="F75" s="8">
        <v>20</v>
      </c>
      <c r="G75" s="8">
        <v>12</v>
      </c>
      <c r="H75" s="11">
        <f t="shared" si="12"/>
        <v>3.1416000000000006E-2</v>
      </c>
      <c r="I75" s="72">
        <f t="shared" si="16"/>
        <v>0.6283200000000001</v>
      </c>
      <c r="J75" s="11">
        <f>(0.108337266+0.000046499*(F75^2*G75))</f>
        <v>0.33153246600000003</v>
      </c>
      <c r="K75" s="72">
        <f t="shared" si="22"/>
        <v>6.6306493199999998</v>
      </c>
      <c r="L75" s="72">
        <f t="shared" si="17"/>
        <v>20</v>
      </c>
      <c r="M75" s="56"/>
      <c r="N75" s="56"/>
      <c r="O75" s="56"/>
    </row>
    <row r="76" spans="1:15" x14ac:dyDescent="0.25">
      <c r="A76" s="8">
        <v>6</v>
      </c>
      <c r="B76" s="8">
        <v>1</v>
      </c>
      <c r="C76" s="8" t="s">
        <v>66</v>
      </c>
      <c r="D76" s="8" t="s">
        <v>61</v>
      </c>
      <c r="E76" s="8" t="s">
        <v>65</v>
      </c>
      <c r="F76" s="8">
        <v>35</v>
      </c>
      <c r="G76" s="8">
        <v>13</v>
      </c>
      <c r="H76" s="11">
        <f t="shared" si="12"/>
        <v>9.6211499999999991E-2</v>
      </c>
      <c r="I76" s="72">
        <f t="shared" si="16"/>
        <v>1.9242299999999997</v>
      </c>
      <c r="J76" s="11">
        <f>(0.0197725259+0.0000288708*(F76^2*G76))</f>
        <v>0.47954001590000001</v>
      </c>
      <c r="K76" s="72">
        <f t="shared" si="22"/>
        <v>9.5908003179999994</v>
      </c>
      <c r="L76" s="72">
        <f t="shared" si="17"/>
        <v>20</v>
      </c>
      <c r="M76" s="56"/>
      <c r="N76" s="56"/>
      <c r="O76" s="56"/>
    </row>
    <row r="77" spans="1:15" x14ac:dyDescent="0.25">
      <c r="A77" s="8">
        <v>6</v>
      </c>
      <c r="B77" s="8">
        <v>2</v>
      </c>
      <c r="C77" s="8" t="s">
        <v>59</v>
      </c>
      <c r="D77" s="8" t="s">
        <v>62</v>
      </c>
      <c r="E77" s="8" t="s">
        <v>52</v>
      </c>
      <c r="F77" s="8">
        <v>18</v>
      </c>
      <c r="G77" s="8">
        <v>12</v>
      </c>
      <c r="H77" s="11">
        <f t="shared" si="12"/>
        <v>2.5446959999999998E-2</v>
      </c>
      <c r="I77" s="72">
        <f t="shared" si="16"/>
        <v>0.50893919999999992</v>
      </c>
      <c r="J77" s="11">
        <f>(0.0134651922+0.0000289134*(F77^2*G77))</f>
        <v>0.12588049139999999</v>
      </c>
      <c r="K77" s="72">
        <f t="shared" si="22"/>
        <v>2.5176098279999994</v>
      </c>
      <c r="L77" s="72">
        <f t="shared" si="17"/>
        <v>20</v>
      </c>
      <c r="M77" s="56"/>
      <c r="N77" s="56"/>
      <c r="O77" s="56"/>
    </row>
    <row r="78" spans="1:15" x14ac:dyDescent="0.25">
      <c r="A78" s="8">
        <v>6</v>
      </c>
      <c r="B78" s="8">
        <v>3</v>
      </c>
      <c r="C78" s="8" t="s">
        <v>60</v>
      </c>
      <c r="D78" s="73" t="s">
        <v>68</v>
      </c>
      <c r="E78" s="8" t="s">
        <v>52</v>
      </c>
      <c r="F78" s="8">
        <v>18</v>
      </c>
      <c r="G78" s="8">
        <v>9</v>
      </c>
      <c r="H78" s="11">
        <f t="shared" si="12"/>
        <v>2.5446959999999998E-2</v>
      </c>
      <c r="I78" s="72">
        <f t="shared" si="16"/>
        <v>0.50893919999999992</v>
      </c>
      <c r="J78" s="11">
        <f t="shared" ref="J78:J80" si="24">(0.108337266+0.000046499*(F78^2*G78))</f>
        <v>0.24392835000000002</v>
      </c>
      <c r="K78" s="72">
        <f t="shared" si="22"/>
        <v>4.8785670000000003</v>
      </c>
      <c r="L78" s="72">
        <f t="shared" si="17"/>
        <v>20</v>
      </c>
      <c r="M78" s="56"/>
      <c r="N78" s="56"/>
      <c r="O78" s="56"/>
    </row>
    <row r="79" spans="1:15" x14ac:dyDescent="0.25">
      <c r="A79" s="8">
        <v>6</v>
      </c>
      <c r="B79" s="8">
        <v>4</v>
      </c>
      <c r="C79" s="8" t="s">
        <v>60</v>
      </c>
      <c r="D79" s="73" t="s">
        <v>68</v>
      </c>
      <c r="E79" s="8" t="s">
        <v>52</v>
      </c>
      <c r="F79" s="8">
        <v>14</v>
      </c>
      <c r="G79" s="8">
        <v>9</v>
      </c>
      <c r="H79" s="11">
        <f t="shared" si="12"/>
        <v>1.5393840000000002E-2</v>
      </c>
      <c r="I79" s="72">
        <f t="shared" si="16"/>
        <v>0.30787680000000001</v>
      </c>
      <c r="J79" s="11">
        <f t="shared" si="24"/>
        <v>0.19036150200000002</v>
      </c>
      <c r="K79" s="72">
        <f t="shared" si="22"/>
        <v>3.8072300400000003</v>
      </c>
      <c r="L79" s="72">
        <f t="shared" si="17"/>
        <v>20</v>
      </c>
      <c r="M79" s="56"/>
      <c r="N79" s="56"/>
      <c r="O79" s="56"/>
    </row>
    <row r="80" spans="1:15" x14ac:dyDescent="0.25">
      <c r="A80" s="8">
        <v>6</v>
      </c>
      <c r="B80" s="8">
        <v>5</v>
      </c>
      <c r="C80" s="8" t="s">
        <v>60</v>
      </c>
      <c r="D80" s="73" t="s">
        <v>68</v>
      </c>
      <c r="E80" s="8" t="s">
        <v>52</v>
      </c>
      <c r="F80" s="8">
        <v>17</v>
      </c>
      <c r="G80" s="8">
        <v>8</v>
      </c>
      <c r="H80" s="11">
        <f t="shared" si="12"/>
        <v>2.2698060000000003E-2</v>
      </c>
      <c r="I80" s="72">
        <f t="shared" si="16"/>
        <v>0.45396120000000001</v>
      </c>
      <c r="J80" s="11">
        <f t="shared" si="24"/>
        <v>0.215842954</v>
      </c>
      <c r="K80" s="72">
        <f t="shared" si="22"/>
        <v>4.3168590799999995</v>
      </c>
      <c r="L80" s="72">
        <f t="shared" si="17"/>
        <v>20</v>
      </c>
      <c r="M80" s="56"/>
      <c r="N80" s="56"/>
      <c r="O80" s="56"/>
    </row>
    <row r="81" spans="1:15" x14ac:dyDescent="0.25">
      <c r="A81" s="8">
        <v>6</v>
      </c>
      <c r="B81" s="8">
        <v>6</v>
      </c>
      <c r="C81" s="8" t="s">
        <v>67</v>
      </c>
      <c r="D81" s="8" t="s">
        <v>64</v>
      </c>
      <c r="E81" s="8" t="s">
        <v>53</v>
      </c>
      <c r="F81" s="8">
        <v>23</v>
      </c>
      <c r="G81" s="8">
        <v>17</v>
      </c>
      <c r="H81" s="11">
        <f t="shared" si="12"/>
        <v>4.154766E-2</v>
      </c>
      <c r="I81" s="72">
        <f t="shared" si="16"/>
        <v>0.83095319999999995</v>
      </c>
      <c r="J81" s="11">
        <f>(0.0050811768+0.0000286052*(F81^2*G81))</f>
        <v>0.26232774039999995</v>
      </c>
      <c r="K81" s="72">
        <f t="shared" si="22"/>
        <v>5.2465548079999991</v>
      </c>
      <c r="L81" s="72">
        <f t="shared" si="17"/>
        <v>20</v>
      </c>
      <c r="M81" s="56"/>
      <c r="N81" s="56"/>
      <c r="O81" s="56"/>
    </row>
    <row r="82" spans="1:15" x14ac:dyDescent="0.25">
      <c r="A82" s="8">
        <v>6</v>
      </c>
      <c r="B82" s="8">
        <v>7</v>
      </c>
      <c r="C82" s="8" t="s">
        <v>66</v>
      </c>
      <c r="D82" s="8" t="s">
        <v>61</v>
      </c>
      <c r="E82" s="8" t="s">
        <v>53</v>
      </c>
      <c r="F82" s="8">
        <v>22</v>
      </c>
      <c r="G82" s="8">
        <v>14</v>
      </c>
      <c r="H82" s="11">
        <f t="shared" si="12"/>
        <v>3.8013359999999996E-2</v>
      </c>
      <c r="I82" s="72">
        <f t="shared" si="16"/>
        <v>0.76026719999999992</v>
      </c>
      <c r="J82" s="11">
        <f t="shared" ref="J82:J84" si="25">(0.0197725259+0.0000288708*(F82^2*G82))</f>
        <v>0.2154010667</v>
      </c>
      <c r="K82" s="72">
        <f t="shared" si="22"/>
        <v>4.3080213340000002</v>
      </c>
      <c r="L82" s="72">
        <f t="shared" si="17"/>
        <v>20</v>
      </c>
      <c r="M82" s="56"/>
      <c r="N82" s="56"/>
      <c r="O82" s="56"/>
    </row>
    <row r="83" spans="1:15" x14ac:dyDescent="0.25">
      <c r="A83" s="8">
        <v>6</v>
      </c>
      <c r="B83" s="8">
        <v>8</v>
      </c>
      <c r="C83" s="8" t="s">
        <v>66</v>
      </c>
      <c r="D83" s="8" t="s">
        <v>61</v>
      </c>
      <c r="E83" s="8" t="s">
        <v>52</v>
      </c>
      <c r="F83" s="8">
        <v>15</v>
      </c>
      <c r="G83" s="8">
        <v>11</v>
      </c>
      <c r="H83" s="11">
        <f t="shared" si="12"/>
        <v>1.76715E-2</v>
      </c>
      <c r="I83" s="72">
        <f t="shared" si="16"/>
        <v>0.35342999999999997</v>
      </c>
      <c r="J83" s="11">
        <f t="shared" si="25"/>
        <v>9.1227755900000013E-2</v>
      </c>
      <c r="K83" s="72">
        <f t="shared" si="22"/>
        <v>1.8245551180000001</v>
      </c>
      <c r="L83" s="72">
        <f t="shared" si="17"/>
        <v>20</v>
      </c>
      <c r="M83" s="56"/>
      <c r="N83" s="56"/>
      <c r="O83" s="56"/>
    </row>
    <row r="84" spans="1:15" x14ac:dyDescent="0.25">
      <c r="A84" s="8">
        <v>6</v>
      </c>
      <c r="B84" s="8">
        <v>9</v>
      </c>
      <c r="C84" s="8" t="s">
        <v>66</v>
      </c>
      <c r="D84" s="8" t="s">
        <v>61</v>
      </c>
      <c r="E84" s="8" t="s">
        <v>65</v>
      </c>
      <c r="F84" s="8">
        <v>35</v>
      </c>
      <c r="G84" s="8">
        <v>14</v>
      </c>
      <c r="H84" s="11">
        <f t="shared" si="12"/>
        <v>9.6211499999999991E-2</v>
      </c>
      <c r="I84" s="72">
        <f t="shared" si="16"/>
        <v>1.9242299999999997</v>
      </c>
      <c r="J84" s="11">
        <f t="shared" si="25"/>
        <v>0.51490674589999996</v>
      </c>
      <c r="K84" s="72">
        <f t="shared" si="22"/>
        <v>10.298134917999999</v>
      </c>
      <c r="L84" s="72">
        <f t="shared" si="17"/>
        <v>20</v>
      </c>
      <c r="M84" s="56"/>
      <c r="N84" s="56"/>
      <c r="O84" s="56"/>
    </row>
    <row r="85" spans="1:15" x14ac:dyDescent="0.25">
      <c r="A85" s="8">
        <v>6</v>
      </c>
      <c r="B85" s="8">
        <v>10</v>
      </c>
      <c r="C85" s="8" t="s">
        <v>67</v>
      </c>
      <c r="D85" s="8" t="s">
        <v>64</v>
      </c>
      <c r="E85" s="8" t="s">
        <v>52</v>
      </c>
      <c r="F85" s="8">
        <v>16</v>
      </c>
      <c r="G85" s="8">
        <v>12</v>
      </c>
      <c r="H85" s="11">
        <f t="shared" si="12"/>
        <v>2.0106240000000001E-2</v>
      </c>
      <c r="I85" s="72">
        <f t="shared" si="16"/>
        <v>0.4021248</v>
      </c>
      <c r="J85" s="11">
        <f>(0.0050811768+0.0000286052*(F85^2*G85))</f>
        <v>9.2956351199999995E-2</v>
      </c>
      <c r="K85" s="72">
        <f t="shared" si="22"/>
        <v>1.8591270239999997</v>
      </c>
      <c r="L85" s="72">
        <f t="shared" si="17"/>
        <v>20</v>
      </c>
      <c r="M85" s="56"/>
      <c r="N85" s="56"/>
      <c r="O85" s="5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topLeftCell="A17" workbookViewId="0">
      <selection activeCell="A7" sqref="A7"/>
    </sheetView>
  </sheetViews>
  <sheetFormatPr baseColWidth="10" defaultColWidth="11.42578125" defaultRowHeight="15" x14ac:dyDescent="0.25"/>
  <cols>
    <col min="1" max="1" width="20.28515625" customWidth="1"/>
    <col min="2" max="2" width="19" bestFit="1" customWidth="1"/>
    <col min="3" max="3" width="13.85546875" customWidth="1"/>
    <col min="4" max="4" width="18.42578125" bestFit="1" customWidth="1"/>
    <col min="5" max="5" width="10.7109375" bestFit="1" customWidth="1"/>
    <col min="6" max="6" width="11.5703125" bestFit="1" customWidth="1"/>
    <col min="7" max="7" width="14" customWidth="1"/>
  </cols>
  <sheetData>
    <row r="3" spans="1:11" x14ac:dyDescent="0.25">
      <c r="A3" s="3" t="s">
        <v>12</v>
      </c>
      <c r="B3" t="s">
        <v>14</v>
      </c>
    </row>
    <row r="4" spans="1:11" x14ac:dyDescent="0.25">
      <c r="A4" s="4" t="s">
        <v>55</v>
      </c>
      <c r="B4" s="6">
        <v>26</v>
      </c>
    </row>
    <row r="5" spans="1:11" x14ac:dyDescent="0.25">
      <c r="A5" s="5" t="s">
        <v>54</v>
      </c>
      <c r="B5" s="6">
        <v>26</v>
      </c>
    </row>
    <row r="6" spans="1:11" x14ac:dyDescent="0.25">
      <c r="A6" s="4" t="s">
        <v>62</v>
      </c>
      <c r="B6" s="6">
        <v>31</v>
      </c>
    </row>
    <row r="7" spans="1:11" x14ac:dyDescent="0.25">
      <c r="A7" s="5" t="s">
        <v>59</v>
      </c>
      <c r="B7" s="6">
        <v>31</v>
      </c>
    </row>
    <row r="8" spans="1:11" x14ac:dyDescent="0.25">
      <c r="A8" s="4" t="s">
        <v>63</v>
      </c>
      <c r="B8" s="6">
        <v>9</v>
      </c>
    </row>
    <row r="9" spans="1:11" x14ac:dyDescent="0.25">
      <c r="A9" s="5" t="s">
        <v>60</v>
      </c>
      <c r="B9" s="6">
        <v>9</v>
      </c>
    </row>
    <row r="10" spans="1:11" x14ac:dyDescent="0.25">
      <c r="A10" s="4" t="s">
        <v>61</v>
      </c>
      <c r="B10" s="6">
        <v>8</v>
      </c>
      <c r="K10">
        <f>0.15*100/1.34</f>
        <v>11.194029850746269</v>
      </c>
    </row>
    <row r="11" spans="1:11" x14ac:dyDescent="0.25">
      <c r="A11" s="5" t="s">
        <v>66</v>
      </c>
      <c r="B11" s="6">
        <v>8</v>
      </c>
    </row>
    <row r="12" spans="1:11" x14ac:dyDescent="0.25">
      <c r="A12" s="4" t="s">
        <v>64</v>
      </c>
      <c r="B12" s="6">
        <v>10</v>
      </c>
    </row>
    <row r="13" spans="1:11" ht="30" customHeight="1" x14ac:dyDescent="0.25">
      <c r="A13" s="5" t="s">
        <v>67</v>
      </c>
      <c r="B13" s="6">
        <v>10</v>
      </c>
    </row>
    <row r="14" spans="1:11" x14ac:dyDescent="0.25">
      <c r="A14" s="4" t="s">
        <v>13</v>
      </c>
      <c r="B14" s="6">
        <v>84</v>
      </c>
    </row>
    <row r="19" spans="2:6" ht="45" x14ac:dyDescent="0.25">
      <c r="B19" s="18" t="s">
        <v>21</v>
      </c>
      <c r="C19" s="19" t="s">
        <v>22</v>
      </c>
      <c r="D19" s="19" t="s">
        <v>23</v>
      </c>
      <c r="E19" s="19" t="s">
        <v>24</v>
      </c>
      <c r="F19" s="20" t="s">
        <v>25</v>
      </c>
    </row>
    <row r="20" spans="2:6" s="1" customFormat="1" x14ac:dyDescent="0.25">
      <c r="B20" s="60">
        <v>1</v>
      </c>
      <c r="C20" s="62" t="str">
        <f>A5</f>
        <v>Aliso</v>
      </c>
      <c r="D20" s="62" t="str">
        <f>A4</f>
        <v>Alnus sp.</v>
      </c>
      <c r="E20" s="61">
        <f>GETPIVOTDATA("No. Arbol",$A$3,"Especie","Alnus sp.")</f>
        <v>26</v>
      </c>
      <c r="F20" s="65">
        <f>E20/E25*100</f>
        <v>30.952380952380953</v>
      </c>
    </row>
    <row r="21" spans="2:6" s="1" customFormat="1" x14ac:dyDescent="0.25">
      <c r="B21" s="60">
        <v>2</v>
      </c>
      <c r="C21" s="62" t="str">
        <f>A7</f>
        <v>Ciprés</v>
      </c>
      <c r="D21" s="62" t="str">
        <f>A6</f>
        <v>Cupresus lusitanica</v>
      </c>
      <c r="E21" s="61">
        <f>GETPIVOTDATA("No. Arbol",$A$3,"Especie","Cupresus lusitanica")</f>
        <v>31</v>
      </c>
      <c r="F21" s="65">
        <f>E21/E25*100</f>
        <v>36.904761904761905</v>
      </c>
    </row>
    <row r="22" spans="2:6" x14ac:dyDescent="0.25">
      <c r="B22" s="8">
        <v>3</v>
      </c>
      <c r="C22" s="8" t="str">
        <f>A9</f>
        <v>Chulube</v>
      </c>
      <c r="D22" s="9" t="str">
        <f>A8</f>
        <v>N. D</v>
      </c>
      <c r="E22" s="63">
        <f>GETPIVOTDATA("No. Arbol",$A$3,"Especie","N. D")</f>
        <v>9</v>
      </c>
      <c r="F22" s="64">
        <f>E22/E25*100</f>
        <v>10.714285714285714</v>
      </c>
    </row>
    <row r="23" spans="2:6" s="1" customFormat="1" x14ac:dyDescent="0.25">
      <c r="B23" s="8"/>
      <c r="C23" s="8" t="str">
        <f>A11</f>
        <v>Pino blanco</v>
      </c>
      <c r="D23" s="9" t="str">
        <f>A10</f>
        <v>Pinus ayacahuite</v>
      </c>
      <c r="E23" s="63">
        <f>GETPIVOTDATA("No. Arbol",$A$3,"Especie","Pinus ayacahuite")</f>
        <v>8</v>
      </c>
      <c r="F23" s="64">
        <f>E23/E25*100</f>
        <v>9.5238095238095237</v>
      </c>
    </row>
    <row r="24" spans="2:6" x14ac:dyDescent="0.25">
      <c r="B24" s="8">
        <v>4</v>
      </c>
      <c r="C24" s="8" t="str">
        <f>A13</f>
        <v>Pino triste</v>
      </c>
      <c r="D24" s="9" t="str">
        <f>A12</f>
        <v>Pinus psudostrobus</v>
      </c>
      <c r="E24" s="63">
        <f>GETPIVOTDATA("No. Arbol",$A$3,"Especie","Pinus psudostrobus")</f>
        <v>10</v>
      </c>
      <c r="F24" s="64">
        <f>E24/E25*100</f>
        <v>11.904761904761903</v>
      </c>
    </row>
    <row r="25" spans="2:6" x14ac:dyDescent="0.25">
      <c r="B25" s="82" t="s">
        <v>26</v>
      </c>
      <c r="C25" s="82"/>
      <c r="D25" s="82"/>
      <c r="E25" s="52">
        <f>SUM(E20:E24)</f>
        <v>84</v>
      </c>
      <c r="F25" s="21">
        <f>SUM(F20:F24)</f>
        <v>99.999999999999986</v>
      </c>
    </row>
  </sheetData>
  <mergeCells count="1">
    <mergeCell ref="B25:D25"/>
  </mergeCell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topLeftCell="B3" workbookViewId="0">
      <selection activeCell="E14" sqref="E14:J19"/>
    </sheetView>
  </sheetViews>
  <sheetFormatPr baseColWidth="10" defaultColWidth="11.42578125" defaultRowHeight="15" x14ac:dyDescent="0.25"/>
  <cols>
    <col min="1" max="1" width="18.42578125" customWidth="1"/>
    <col min="2" max="3" width="21.28515625" customWidth="1"/>
    <col min="4" max="4" width="22.140625" customWidth="1"/>
    <col min="5" max="5" width="15.140625" customWidth="1"/>
    <col min="6" max="6" width="21" customWidth="1"/>
    <col min="7" max="7" width="10.42578125" customWidth="1"/>
    <col min="8" max="8" width="10.28515625" customWidth="1"/>
    <col min="9" max="9" width="7.85546875" customWidth="1"/>
    <col min="10" max="10" width="8.85546875" customWidth="1"/>
  </cols>
  <sheetData>
    <row r="3" spans="1:12" x14ac:dyDescent="0.25">
      <c r="B3" s="3" t="s">
        <v>16</v>
      </c>
    </row>
    <row r="4" spans="1:12" x14ac:dyDescent="0.25">
      <c r="A4" s="3" t="s">
        <v>12</v>
      </c>
      <c r="B4" s="1" t="s">
        <v>15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12" x14ac:dyDescent="0.25">
      <c r="A5" s="4" t="s">
        <v>55</v>
      </c>
      <c r="B5" s="7">
        <v>86.666666666666657</v>
      </c>
      <c r="C5" s="2">
        <v>16.030769230769234</v>
      </c>
      <c r="D5" s="2">
        <v>10.538461538461538</v>
      </c>
      <c r="E5" s="2">
        <v>1.8851589680000003</v>
      </c>
      <c r="F5" s="2">
        <v>22.204278171633334</v>
      </c>
    </row>
    <row r="6" spans="1:12" x14ac:dyDescent="0.25">
      <c r="A6" s="4" t="s">
        <v>62</v>
      </c>
      <c r="B6" s="7">
        <v>103.3333333333333</v>
      </c>
      <c r="C6" s="2">
        <v>16.06774193548387</v>
      </c>
      <c r="D6" s="2">
        <v>13.064516129032258</v>
      </c>
      <c r="E6" s="2">
        <v>2.1844042220000004</v>
      </c>
      <c r="F6" s="2">
        <v>12.10119062972</v>
      </c>
    </row>
    <row r="7" spans="1:12" x14ac:dyDescent="0.25">
      <c r="A7" s="4" t="s">
        <v>63</v>
      </c>
      <c r="B7" s="7">
        <v>29.999999999999996</v>
      </c>
      <c r="C7" s="2">
        <v>16.399999999999999</v>
      </c>
      <c r="D7" s="2">
        <v>9.5555555555555554</v>
      </c>
      <c r="E7" s="2">
        <v>0.66711352400000012</v>
      </c>
      <c r="F7" s="2">
        <v>7.4114700366333333</v>
      </c>
      <c r="L7">
        <f>2013-1977</f>
        <v>36</v>
      </c>
    </row>
    <row r="8" spans="1:12" x14ac:dyDescent="0.25">
      <c r="A8" s="4" t="s">
        <v>61</v>
      </c>
      <c r="B8" s="7">
        <v>26.666666666666664</v>
      </c>
      <c r="C8" s="2">
        <v>24.875</v>
      </c>
      <c r="D8" s="2">
        <v>13.75</v>
      </c>
      <c r="E8" s="2">
        <v>1.3951321999999999</v>
      </c>
      <c r="F8" s="2">
        <v>7.6496937173333333</v>
      </c>
    </row>
    <row r="9" spans="1:12" x14ac:dyDescent="0.25">
      <c r="A9" s="4" t="s">
        <v>64</v>
      </c>
      <c r="B9" s="7">
        <v>33.333333333333329</v>
      </c>
      <c r="C9" s="2">
        <v>16.600000000000001</v>
      </c>
      <c r="D9" s="2">
        <v>12.8</v>
      </c>
      <c r="E9" s="2">
        <v>0.74442830000000015</v>
      </c>
      <c r="F9" s="2">
        <v>3.8004928103333335</v>
      </c>
    </row>
    <row r="10" spans="1:12" x14ac:dyDescent="0.25">
      <c r="A10" s="4" t="s">
        <v>13</v>
      </c>
      <c r="B10" s="7">
        <v>280.00000000000017</v>
      </c>
      <c r="C10" s="2">
        <v>16.99404761904762</v>
      </c>
      <c r="D10" s="2">
        <v>11.94047619047619</v>
      </c>
      <c r="E10" s="2">
        <v>6.8762372140000005</v>
      </c>
      <c r="F10" s="2">
        <v>53.16712536565332</v>
      </c>
    </row>
    <row r="12" spans="1:12" x14ac:dyDescent="0.25">
      <c r="B12" s="87" t="s">
        <v>27</v>
      </c>
      <c r="C12" s="87" t="s">
        <v>28</v>
      </c>
      <c r="D12" s="84" t="s">
        <v>3</v>
      </c>
      <c r="E12" s="83" t="s">
        <v>15</v>
      </c>
      <c r="F12" s="83" t="s">
        <v>17</v>
      </c>
      <c r="G12" s="83" t="s">
        <v>18</v>
      </c>
      <c r="H12" s="83" t="s">
        <v>19</v>
      </c>
      <c r="I12" s="84" t="s">
        <v>29</v>
      </c>
      <c r="J12" s="84"/>
    </row>
    <row r="13" spans="1:12" x14ac:dyDescent="0.25">
      <c r="B13" s="87"/>
      <c r="C13" s="87"/>
      <c r="D13" s="84"/>
      <c r="E13" s="83"/>
      <c r="F13" s="83"/>
      <c r="G13" s="83"/>
      <c r="H13" s="83"/>
      <c r="I13" s="17" t="s">
        <v>30</v>
      </c>
      <c r="J13" s="17" t="s">
        <v>27</v>
      </c>
    </row>
    <row r="14" spans="1:12" x14ac:dyDescent="0.25">
      <c r="B14" s="85">
        <v>1</v>
      </c>
      <c r="C14" s="86">
        <v>2.2999999999999998</v>
      </c>
      <c r="D14" s="10" t="str">
        <f>A5</f>
        <v>Alnus sp.</v>
      </c>
      <c r="E14" s="14">
        <f>GETPIVOTDATA("Suma de Densidad/Ha.",$A$3,"Especie","Alnus sp.")</f>
        <v>86.666666666666657</v>
      </c>
      <c r="F14" s="11">
        <f>GETPIVOTDATA("Promedio de DAP (cm)",$A$3,"Especie","Alnus sp.")</f>
        <v>16.030769230769234</v>
      </c>
      <c r="G14" s="11">
        <f>GETPIVOTDATA("Promedio de Altura (m)",$A$3,"Especie","Alnus sp.")</f>
        <v>10.538461538461538</v>
      </c>
      <c r="H14" s="11">
        <f>GETPIVOTDATA("Suma de AB/Ha.",$A$3,"Especie","Alnus sp.")</f>
        <v>1.8851589680000003</v>
      </c>
      <c r="I14" s="11">
        <f>GETPIVOTDATA("Suma de Volumen/Ha.",$A$3,"Especie","Alnus sp.")</f>
        <v>22.204278171633334</v>
      </c>
      <c r="J14" s="12">
        <f>I14*C14</f>
        <v>51.06983979475666</v>
      </c>
    </row>
    <row r="15" spans="1:12" s="1" customFormat="1" x14ac:dyDescent="0.25">
      <c r="B15" s="85"/>
      <c r="C15" s="86"/>
      <c r="D15" s="10" t="str">
        <f>A6</f>
        <v>Cupresus lusitanica</v>
      </c>
      <c r="E15" s="14">
        <f>GETPIVOTDATA("Suma de Densidad/Ha.",$A$3,"Especie","Cupresus lusitanica")</f>
        <v>103.3333333333333</v>
      </c>
      <c r="F15" s="11">
        <f>GETPIVOTDATA("Promedio de DAP (cm)",$A$3,"Especie","Cupresus lusitanica")</f>
        <v>16.06774193548387</v>
      </c>
      <c r="G15" s="11">
        <f>GETPIVOTDATA("Promedio de Altura (m)",$A$3,"Especie","Cupresus lusitanica")</f>
        <v>13.064516129032258</v>
      </c>
      <c r="H15" s="11">
        <f>GETPIVOTDATA("Suma de AB/Ha.",$A$3,"Especie","Cupresus lusitanica")</f>
        <v>2.1844042220000004</v>
      </c>
      <c r="I15" s="11">
        <f>GETPIVOTDATA("Suma de Volumen/Ha.",$A$3,"Especie","Cupresus lusitanica")</f>
        <v>12.10119062972</v>
      </c>
      <c r="J15" s="53">
        <f>I15*C14</f>
        <v>27.832738448355997</v>
      </c>
    </row>
    <row r="16" spans="1:12" s="1" customFormat="1" x14ac:dyDescent="0.25">
      <c r="B16" s="85"/>
      <c r="C16" s="86"/>
      <c r="D16" s="10" t="str">
        <f>A7</f>
        <v>N. D</v>
      </c>
      <c r="E16" s="14">
        <f>GETPIVOTDATA("Suma de Densidad/Ha.",$A$3,"Especie","N. D")</f>
        <v>29.999999999999996</v>
      </c>
      <c r="F16" s="11">
        <f>GETPIVOTDATA("Promedio de DAP (cm)",$A$3,"Especie","N. D")</f>
        <v>16.399999999999999</v>
      </c>
      <c r="G16" s="11">
        <f>GETPIVOTDATA("Promedio de Altura (m)",$A$3,"Especie","N. D")</f>
        <v>9.5555555555555554</v>
      </c>
      <c r="H16" s="11">
        <f>GETPIVOTDATA("Suma de AB/Ha.",$A$3,"Especie","N. D")</f>
        <v>0.66711352400000012</v>
      </c>
      <c r="I16" s="11">
        <f>GETPIVOTDATA("Suma de Volumen/Ha.",$A$3,"Especie","N. D")</f>
        <v>7.4114700366333333</v>
      </c>
      <c r="J16" s="53">
        <f>I16*C14</f>
        <v>17.046381084256666</v>
      </c>
    </row>
    <row r="17" spans="2:10" s="1" customFormat="1" x14ac:dyDescent="0.25">
      <c r="B17" s="85"/>
      <c r="C17" s="86"/>
      <c r="D17" s="10" t="str">
        <f>A8</f>
        <v>Pinus ayacahuite</v>
      </c>
      <c r="E17" s="14">
        <f>GETPIVOTDATA("Suma de Densidad/Ha.",$A$3,"Especie","Pinus ayacahuite")</f>
        <v>26.666666666666664</v>
      </c>
      <c r="F17" s="11">
        <f>GETPIVOTDATA("Promedio de DAP (cm)",$A$3,"Especie","Pinus ayacahuite")</f>
        <v>24.875</v>
      </c>
      <c r="G17" s="11">
        <f>GETPIVOTDATA("Promedio de Altura (m)",$A$3,"Especie","Pinus ayacahuite")</f>
        <v>13.75</v>
      </c>
      <c r="H17" s="11">
        <f>GETPIVOTDATA("Suma de AB/Ha.",$A$3,"Especie","Pinus ayacahuite")</f>
        <v>1.3951321999999999</v>
      </c>
      <c r="I17" s="11">
        <f>GETPIVOTDATA("Suma de Volumen/Ha.",$A$3,"Especie","Pinus ayacahuite")</f>
        <v>7.6496937173333333</v>
      </c>
      <c r="J17" s="53">
        <f>I17*C14</f>
        <v>17.594295549866665</v>
      </c>
    </row>
    <row r="18" spans="2:10" x14ac:dyDescent="0.25">
      <c r="B18" s="85"/>
      <c r="C18" s="86"/>
      <c r="D18" s="10" t="str">
        <f>A9</f>
        <v>Pinus psudostrobus</v>
      </c>
      <c r="E18" s="14">
        <f>GETPIVOTDATA("Suma de Densidad/Ha.",$A$3,"Especie","Pinus psudostrobus")</f>
        <v>33.333333333333329</v>
      </c>
      <c r="F18" s="11">
        <f>GETPIVOTDATA("Promedio de DAP (cm)",$A$3,"Especie","Pinus psudostrobus")</f>
        <v>16.600000000000001</v>
      </c>
      <c r="G18" s="11">
        <f>GETPIVOTDATA("Promedio de Altura (m)",$A$3,"Especie","Pinus psudostrobus")</f>
        <v>12.8</v>
      </c>
      <c r="H18" s="11">
        <f>GETPIVOTDATA("Suma de AB/Ha.",$A$3,"Especie","Pinus psudostrobus")</f>
        <v>0.74442830000000015</v>
      </c>
      <c r="I18" s="11">
        <f>GETPIVOTDATA("Suma de Volumen/Ha.",$A$3,"Especie","Pinus psudostrobus")</f>
        <v>3.8004928103333335</v>
      </c>
      <c r="J18" s="12">
        <f>I18*C14</f>
        <v>8.7411334637666656</v>
      </c>
    </row>
    <row r="19" spans="2:10" x14ac:dyDescent="0.25">
      <c r="B19" s="85"/>
      <c r="C19" s="86"/>
      <c r="D19" s="15" t="s">
        <v>13</v>
      </c>
      <c r="E19" s="16">
        <f>SUM(E14:E18)</f>
        <v>279.99999999999994</v>
      </c>
      <c r="F19" s="67">
        <f>GETPIVOTDATA("Promedio de DAP (cm)",$A$3)</f>
        <v>16.99404761904762</v>
      </c>
      <c r="G19" s="67">
        <f>GETPIVOTDATA("Promedio de Altura (m)",$A$3)</f>
        <v>11.94047619047619</v>
      </c>
      <c r="H19" s="67">
        <f>GETPIVOTDATA("Suma de AB/Ha.",$A$3)</f>
        <v>6.8762372140000005</v>
      </c>
      <c r="I19" s="67">
        <f>GETPIVOTDATA("Suma de Volumen/Ha.",$A$3)</f>
        <v>53.16712536565332</v>
      </c>
      <c r="J19" s="68">
        <f>I19*C14</f>
        <v>122.28438834100263</v>
      </c>
    </row>
  </sheetData>
  <mergeCells count="10">
    <mergeCell ref="H12:H13"/>
    <mergeCell ref="I12:J12"/>
    <mergeCell ref="B14:B19"/>
    <mergeCell ref="C14:C19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G11" sqref="G11"/>
    </sheetView>
  </sheetViews>
  <sheetFormatPr baseColWidth="10" defaultColWidth="11.42578125" defaultRowHeight="15" x14ac:dyDescent="0.25"/>
  <cols>
    <col min="1" max="1" width="18.42578125" bestFit="1" customWidth="1"/>
    <col min="2" max="2" width="13" bestFit="1" customWidth="1"/>
    <col min="3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7" x14ac:dyDescent="0.25">
      <c r="B3" s="3" t="s">
        <v>16</v>
      </c>
    </row>
    <row r="4" spans="1:7" ht="30" x14ac:dyDescent="0.25">
      <c r="A4" s="47" t="s">
        <v>32</v>
      </c>
      <c r="B4" s="27" t="s">
        <v>15</v>
      </c>
      <c r="C4" s="27" t="s">
        <v>17</v>
      </c>
      <c r="D4" s="27" t="s">
        <v>18</v>
      </c>
      <c r="E4" s="27" t="s">
        <v>19</v>
      </c>
      <c r="F4" s="47" t="s">
        <v>20</v>
      </c>
      <c r="G4" s="20" t="s">
        <v>31</v>
      </c>
    </row>
    <row r="5" spans="1:7" x14ac:dyDescent="0.25">
      <c r="A5" s="46">
        <v>1</v>
      </c>
      <c r="B5" s="24">
        <v>36.666666666666664</v>
      </c>
      <c r="C5" s="25">
        <v>17.009090909090908</v>
      </c>
      <c r="D5" s="25">
        <v>10.363636363636363</v>
      </c>
      <c r="E5" s="25">
        <v>0.93637744200000017</v>
      </c>
      <c r="F5" s="45">
        <v>9.7112555552000011</v>
      </c>
      <c r="G5" s="26">
        <f>F5*2.3</f>
        <v>22.33588777696</v>
      </c>
    </row>
    <row r="6" spans="1:7" x14ac:dyDescent="0.25">
      <c r="A6" s="46">
        <v>2</v>
      </c>
      <c r="B6" s="24">
        <v>60.000000000000014</v>
      </c>
      <c r="C6" s="25">
        <v>14.777777777777779</v>
      </c>
      <c r="D6" s="25">
        <v>12.444444444444445</v>
      </c>
      <c r="E6" s="25">
        <v>1.0859411640000001</v>
      </c>
      <c r="F6" s="45">
        <v>11.323145096800001</v>
      </c>
      <c r="G6" s="26">
        <f t="shared" ref="G6:G11" si="0">F6*2.3</f>
        <v>26.04323372264</v>
      </c>
    </row>
    <row r="7" spans="1:7" x14ac:dyDescent="0.25">
      <c r="A7" s="46">
        <v>3</v>
      </c>
      <c r="B7" s="24">
        <v>43.333333333333336</v>
      </c>
      <c r="C7" s="25">
        <v>18.307692307692307</v>
      </c>
      <c r="D7" s="25">
        <v>12.23076923076923</v>
      </c>
      <c r="E7" s="25">
        <v>1.1906664</v>
      </c>
      <c r="F7" s="45">
        <v>7.1238103610000012</v>
      </c>
      <c r="G7" s="26">
        <f t="shared" si="0"/>
        <v>16.384763830300002</v>
      </c>
    </row>
    <row r="8" spans="1:7" x14ac:dyDescent="0.25">
      <c r="A8" s="46">
        <v>4</v>
      </c>
      <c r="B8" s="24">
        <v>66.666666666666686</v>
      </c>
      <c r="C8" s="25">
        <v>15.570000000000002</v>
      </c>
      <c r="D8" s="25">
        <v>11.2</v>
      </c>
      <c r="E8" s="25">
        <v>1.3146444080000004</v>
      </c>
      <c r="F8" s="45">
        <v>10.146907014986667</v>
      </c>
      <c r="G8" s="26">
        <f t="shared" si="0"/>
        <v>23.337886134469333</v>
      </c>
    </row>
    <row r="9" spans="1:7" x14ac:dyDescent="0.25">
      <c r="A9" s="46">
        <v>5</v>
      </c>
      <c r="B9" s="24">
        <v>40</v>
      </c>
      <c r="C9" s="25">
        <v>17.666666666666668</v>
      </c>
      <c r="D9" s="25">
        <v>13.583333333333334</v>
      </c>
      <c r="E9" s="25">
        <v>1.0194491999999999</v>
      </c>
      <c r="F9" s="45">
        <v>6.7540974263333338</v>
      </c>
      <c r="G9" s="26">
        <f t="shared" si="0"/>
        <v>15.534424080566666</v>
      </c>
    </row>
    <row r="10" spans="1:7" x14ac:dyDescent="0.25">
      <c r="A10" s="46">
        <v>6</v>
      </c>
      <c r="B10" s="24">
        <v>33.333333333333329</v>
      </c>
      <c r="C10" s="25">
        <v>21.3</v>
      </c>
      <c r="D10" s="25">
        <v>11.9</v>
      </c>
      <c r="E10" s="25">
        <v>1.3291586</v>
      </c>
      <c r="F10" s="45">
        <v>8.1079099113333335</v>
      </c>
      <c r="G10" s="26">
        <f t="shared" si="0"/>
        <v>18.648192796066667</v>
      </c>
    </row>
    <row r="11" spans="1:7" x14ac:dyDescent="0.25">
      <c r="A11" s="49" t="s">
        <v>13</v>
      </c>
      <c r="B11" s="28">
        <v>280.00000000000017</v>
      </c>
      <c r="C11" s="29">
        <v>16.99404761904762</v>
      </c>
      <c r="D11" s="29">
        <v>11.94047619047619</v>
      </c>
      <c r="E11" s="29">
        <v>6.8762372140000005</v>
      </c>
      <c r="F11" s="48">
        <v>53.167125365653334</v>
      </c>
      <c r="G11" s="26">
        <f t="shared" si="0"/>
        <v>122.28438834100265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B5" sqref="B5"/>
    </sheetView>
  </sheetViews>
  <sheetFormatPr baseColWidth="10" defaultColWidth="11.42578125" defaultRowHeight="15" x14ac:dyDescent="0.25"/>
  <cols>
    <col min="1" max="1" width="20.28515625" bestFit="1" customWidth="1"/>
    <col min="2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8" x14ac:dyDescent="0.25">
      <c r="B3" s="3" t="s">
        <v>16</v>
      </c>
    </row>
    <row r="4" spans="1:8" ht="45" x14ac:dyDescent="0.25">
      <c r="A4" s="47" t="s">
        <v>34</v>
      </c>
      <c r="B4" s="27" t="s">
        <v>15</v>
      </c>
      <c r="C4" s="27" t="s">
        <v>17</v>
      </c>
      <c r="D4" s="27" t="s">
        <v>18</v>
      </c>
      <c r="E4" s="27" t="s">
        <v>19</v>
      </c>
      <c r="F4" s="47" t="s">
        <v>20</v>
      </c>
      <c r="G4" s="31" t="s">
        <v>33</v>
      </c>
    </row>
    <row r="5" spans="1:8" x14ac:dyDescent="0.25">
      <c r="A5" s="43" t="s">
        <v>55</v>
      </c>
      <c r="B5" s="22">
        <v>86.666666666666657</v>
      </c>
      <c r="C5" s="23">
        <v>16.030769230769234</v>
      </c>
      <c r="D5" s="23">
        <v>10.538461538461538</v>
      </c>
      <c r="E5" s="23">
        <v>1.885158968</v>
      </c>
      <c r="F5" s="44">
        <v>22.204278171633337</v>
      </c>
      <c r="G5" s="13">
        <f>F5*2.3</f>
        <v>51.069839794756675</v>
      </c>
    </row>
    <row r="6" spans="1:8" x14ac:dyDescent="0.25">
      <c r="A6" s="5" t="s">
        <v>52</v>
      </c>
      <c r="B6" s="22">
        <v>80</v>
      </c>
      <c r="C6" s="23">
        <v>14.966666666666669</v>
      </c>
      <c r="D6" s="23">
        <v>10.208333333333334</v>
      </c>
      <c r="E6" s="23">
        <v>1.44675916</v>
      </c>
      <c r="F6" s="44">
        <v>17.693539206300002</v>
      </c>
      <c r="G6" s="69">
        <f t="shared" ref="G6:G22" si="0">F6*2.3</f>
        <v>40.69514017449</v>
      </c>
    </row>
    <row r="7" spans="1:8" x14ac:dyDescent="0.25">
      <c r="A7" s="5" t="s">
        <v>53</v>
      </c>
      <c r="B7" s="22">
        <v>3.3333333333333335</v>
      </c>
      <c r="C7" s="23">
        <v>26</v>
      </c>
      <c r="D7" s="23">
        <v>14</v>
      </c>
      <c r="E7" s="23">
        <v>0.17697680000000005</v>
      </c>
      <c r="F7" s="44">
        <v>1.8280126733333335</v>
      </c>
      <c r="G7" s="69">
        <f t="shared" si="0"/>
        <v>4.2044291486666667</v>
      </c>
    </row>
    <row r="8" spans="1:8" x14ac:dyDescent="0.25">
      <c r="A8" s="5" t="s">
        <v>65</v>
      </c>
      <c r="B8" s="22">
        <v>3.3333333333333335</v>
      </c>
      <c r="C8" s="23">
        <v>31.6</v>
      </c>
      <c r="D8" s="23">
        <v>15</v>
      </c>
      <c r="E8" s="23">
        <v>0.26142300800000001</v>
      </c>
      <c r="F8" s="44">
        <v>2.6827262920000008</v>
      </c>
      <c r="G8" s="69">
        <f t="shared" si="0"/>
        <v>6.1702704716000012</v>
      </c>
    </row>
    <row r="9" spans="1:8" x14ac:dyDescent="0.25">
      <c r="A9" s="43" t="s">
        <v>62</v>
      </c>
      <c r="B9" s="22">
        <v>103.3333333333333</v>
      </c>
      <c r="C9" s="23">
        <v>16.06774193548387</v>
      </c>
      <c r="D9" s="23">
        <v>13.064516129032258</v>
      </c>
      <c r="E9" s="23">
        <v>2.184404222</v>
      </c>
      <c r="F9" s="44">
        <v>12.10119062972</v>
      </c>
      <c r="G9" s="13">
        <f t="shared" si="0"/>
        <v>27.832738448355997</v>
      </c>
    </row>
    <row r="10" spans="1:8" x14ac:dyDescent="0.25">
      <c r="A10" s="5" t="s">
        <v>52</v>
      </c>
      <c r="B10" s="22">
        <v>89.999999999999986</v>
      </c>
      <c r="C10" s="23">
        <v>15.033333333333333</v>
      </c>
      <c r="D10" s="23">
        <v>12.962962962962964</v>
      </c>
      <c r="E10" s="23">
        <v>1.6265503100000001</v>
      </c>
      <c r="F10" s="44">
        <v>9.0829949485199997</v>
      </c>
      <c r="G10" s="69">
        <f t="shared" si="0"/>
        <v>20.890888381595996</v>
      </c>
    </row>
    <row r="11" spans="1:8" x14ac:dyDescent="0.25">
      <c r="A11" s="5" t="s">
        <v>53</v>
      </c>
      <c r="B11" s="22">
        <v>13.333333333333334</v>
      </c>
      <c r="C11" s="23">
        <v>23.05</v>
      </c>
      <c r="D11" s="23">
        <v>13.75</v>
      </c>
      <c r="E11" s="23">
        <v>0.55785391200000001</v>
      </c>
      <c r="F11" s="44">
        <v>3.0181956811999999</v>
      </c>
      <c r="G11" s="69">
        <f t="shared" si="0"/>
        <v>6.9418500667599989</v>
      </c>
      <c r="H11" s="51"/>
    </row>
    <row r="12" spans="1:8" x14ac:dyDescent="0.25">
      <c r="A12" s="43" t="s">
        <v>63</v>
      </c>
      <c r="B12" s="22">
        <v>29.999999999999996</v>
      </c>
      <c r="C12" s="23">
        <v>16.399999999999999</v>
      </c>
      <c r="D12" s="23">
        <v>9.5555555555555554</v>
      </c>
      <c r="E12" s="23">
        <v>0.66711352400000001</v>
      </c>
      <c r="F12" s="44">
        <v>7.4114700366333333</v>
      </c>
      <c r="G12" s="13">
        <f t="shared" si="0"/>
        <v>17.046381084256666</v>
      </c>
      <c r="H12" s="51"/>
    </row>
    <row r="13" spans="1:8" x14ac:dyDescent="0.25">
      <c r="A13" s="5" t="s">
        <v>52</v>
      </c>
      <c r="B13" s="22">
        <v>23.333333333333332</v>
      </c>
      <c r="C13" s="23">
        <v>14.87142857142857</v>
      </c>
      <c r="D13" s="23">
        <v>8.5714285714285712</v>
      </c>
      <c r="E13" s="23">
        <v>0.41781447399999999</v>
      </c>
      <c r="F13" s="44">
        <v>4.7468808682999999</v>
      </c>
      <c r="G13" s="69">
        <f t="shared" si="0"/>
        <v>10.917825997089999</v>
      </c>
      <c r="H13" s="51"/>
    </row>
    <row r="14" spans="1:8" x14ac:dyDescent="0.25">
      <c r="A14" s="5" t="s">
        <v>53</v>
      </c>
      <c r="B14" s="22">
        <v>6.666666666666667</v>
      </c>
      <c r="C14" s="23">
        <v>21.75</v>
      </c>
      <c r="D14" s="23">
        <v>13</v>
      </c>
      <c r="E14" s="23">
        <v>0.24929905000000002</v>
      </c>
      <c r="F14" s="44">
        <v>2.6645891683333334</v>
      </c>
      <c r="G14" s="69">
        <f t="shared" si="0"/>
        <v>6.1285550871666663</v>
      </c>
      <c r="H14" s="51"/>
    </row>
    <row r="15" spans="1:8" x14ac:dyDescent="0.25">
      <c r="A15" s="43" t="s">
        <v>61</v>
      </c>
      <c r="B15" s="22">
        <v>26.666666666666664</v>
      </c>
      <c r="C15" s="23">
        <v>24.875</v>
      </c>
      <c r="D15" s="23">
        <v>13.75</v>
      </c>
      <c r="E15" s="23">
        <v>1.3951322000000002</v>
      </c>
      <c r="F15" s="44">
        <v>7.6496937173333333</v>
      </c>
      <c r="G15" s="13">
        <f t="shared" si="0"/>
        <v>17.594295549866665</v>
      </c>
      <c r="H15" s="51"/>
    </row>
    <row r="16" spans="1:8" x14ac:dyDescent="0.25">
      <c r="A16" s="5" t="s">
        <v>52</v>
      </c>
      <c r="B16" s="22">
        <v>6.666666666666667</v>
      </c>
      <c r="C16" s="23">
        <v>17</v>
      </c>
      <c r="D16" s="23">
        <v>13</v>
      </c>
      <c r="E16" s="23">
        <v>0.15341480000000002</v>
      </c>
      <c r="F16" s="44">
        <v>0.89111887933333345</v>
      </c>
      <c r="G16" s="69">
        <f t="shared" si="0"/>
        <v>2.0495734224666666</v>
      </c>
    </row>
    <row r="17" spans="1:7" x14ac:dyDescent="0.25">
      <c r="A17" s="5" t="s">
        <v>53</v>
      </c>
      <c r="B17" s="22">
        <v>13.333333333333334</v>
      </c>
      <c r="C17" s="23">
        <v>23.75</v>
      </c>
      <c r="D17" s="23">
        <v>14.25</v>
      </c>
      <c r="E17" s="23">
        <v>0.60030740000000005</v>
      </c>
      <c r="F17" s="44">
        <v>3.4437522986666669</v>
      </c>
      <c r="G17" s="69">
        <f t="shared" si="0"/>
        <v>7.9206302869333332</v>
      </c>
    </row>
    <row r="18" spans="1:7" x14ac:dyDescent="0.25">
      <c r="A18" s="5" t="s">
        <v>65</v>
      </c>
      <c r="B18" s="22">
        <v>6.666666666666667</v>
      </c>
      <c r="C18" s="23">
        <v>35</v>
      </c>
      <c r="D18" s="23">
        <v>13.5</v>
      </c>
      <c r="E18" s="23">
        <v>0.64140999999999992</v>
      </c>
      <c r="F18" s="44">
        <v>3.314822539333333</v>
      </c>
      <c r="G18" s="69">
        <f t="shared" si="0"/>
        <v>7.6240918404666651</v>
      </c>
    </row>
    <row r="19" spans="1:7" x14ac:dyDescent="0.25">
      <c r="A19" s="43" t="s">
        <v>64</v>
      </c>
      <c r="B19" s="22">
        <v>33.333333333333329</v>
      </c>
      <c r="C19" s="23">
        <v>16.600000000000001</v>
      </c>
      <c r="D19" s="23">
        <v>12.8</v>
      </c>
      <c r="E19" s="23">
        <v>0.74442830000000004</v>
      </c>
      <c r="F19" s="44">
        <v>3.8004928103333331</v>
      </c>
      <c r="G19" s="13">
        <f t="shared" si="0"/>
        <v>8.7411334637666656</v>
      </c>
    </row>
    <row r="20" spans="1:7" x14ac:dyDescent="0.25">
      <c r="A20" s="5" t="s">
        <v>52</v>
      </c>
      <c r="B20" s="22">
        <v>29.999999999999996</v>
      </c>
      <c r="C20" s="23">
        <v>15.888888888888889</v>
      </c>
      <c r="D20" s="23">
        <v>12.333333333333334</v>
      </c>
      <c r="E20" s="23">
        <v>0.60593610000000009</v>
      </c>
      <c r="F20" s="44">
        <v>2.9260670090000001</v>
      </c>
      <c r="G20" s="69">
        <f t="shared" si="0"/>
        <v>6.7299541206999995</v>
      </c>
    </row>
    <row r="21" spans="1:7" x14ac:dyDescent="0.25">
      <c r="A21" s="5" t="s">
        <v>53</v>
      </c>
      <c r="B21" s="22">
        <v>3.3333333333333335</v>
      </c>
      <c r="C21" s="23">
        <v>23</v>
      </c>
      <c r="D21" s="23">
        <v>17</v>
      </c>
      <c r="E21" s="23">
        <v>0.13849220000000001</v>
      </c>
      <c r="F21" s="44">
        <v>0.87442580133333325</v>
      </c>
      <c r="G21" s="69">
        <f t="shared" si="0"/>
        <v>2.0111793430666665</v>
      </c>
    </row>
    <row r="22" spans="1:7" x14ac:dyDescent="0.25">
      <c r="A22" s="50" t="s">
        <v>13</v>
      </c>
      <c r="B22" s="41">
        <v>280.00000000000017</v>
      </c>
      <c r="C22" s="42">
        <v>16.99404761904762</v>
      </c>
      <c r="D22" s="42">
        <v>11.94047619047619</v>
      </c>
      <c r="E22" s="42">
        <v>6.8762372140000005</v>
      </c>
      <c r="F22" s="66">
        <v>53.167125365653334</v>
      </c>
      <c r="G22" s="30">
        <f t="shared" si="0"/>
        <v>122.28438834100265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I5" sqref="I5"/>
    </sheetView>
  </sheetViews>
  <sheetFormatPr baseColWidth="10" defaultColWidth="11.42578125" defaultRowHeight="15" x14ac:dyDescent="0.25"/>
  <cols>
    <col min="5" max="5" width="21.140625" customWidth="1"/>
    <col min="6" max="6" width="12.85546875" customWidth="1"/>
  </cols>
  <sheetData>
    <row r="3" spans="2:6" x14ac:dyDescent="0.25">
      <c r="B3" s="88" t="s">
        <v>35</v>
      </c>
      <c r="C3" s="88"/>
      <c r="D3" s="32" t="s">
        <v>36</v>
      </c>
      <c r="E3" s="32" t="s">
        <v>37</v>
      </c>
      <c r="F3" s="33" t="s">
        <v>38</v>
      </c>
    </row>
    <row r="4" spans="2:6" x14ac:dyDescent="0.25">
      <c r="B4" s="88"/>
      <c r="C4" s="88"/>
      <c r="D4" s="34">
        <v>2.2999999999999998</v>
      </c>
      <c r="E4" s="34">
        <v>2.0150000000000001</v>
      </c>
      <c r="F4" s="34">
        <v>6</v>
      </c>
    </row>
    <row r="5" spans="2:6" x14ac:dyDescent="0.25">
      <c r="B5" s="32" t="s">
        <v>39</v>
      </c>
      <c r="C5" s="32" t="s">
        <v>40</v>
      </c>
      <c r="D5" s="32" t="s">
        <v>41</v>
      </c>
      <c r="E5" s="32" t="s">
        <v>42</v>
      </c>
      <c r="F5" s="32" t="s">
        <v>43</v>
      </c>
    </row>
    <row r="6" spans="2:6" x14ac:dyDescent="0.25">
      <c r="B6" s="32">
        <v>1</v>
      </c>
      <c r="C6" s="45">
        <v>9.7112555552000011</v>
      </c>
      <c r="D6" s="35">
        <f>C6*C6</f>
        <v>94.308484458402887</v>
      </c>
      <c r="E6" s="32" t="s">
        <v>44</v>
      </c>
      <c r="F6" s="36">
        <f>C16/F4</f>
        <v>8.8611875609422217</v>
      </c>
    </row>
    <row r="7" spans="2:6" x14ac:dyDescent="0.25">
      <c r="B7" s="32">
        <v>2</v>
      </c>
      <c r="C7" s="45">
        <v>11.323145096800001</v>
      </c>
      <c r="D7" s="35">
        <f>C7*C7</f>
        <v>128.2136148831859</v>
      </c>
      <c r="E7" s="32" t="s">
        <v>45</v>
      </c>
      <c r="F7" s="37">
        <f>(((D16)-((C16*C16)/F4))/(F4-1))</f>
        <v>3.2925321210764311</v>
      </c>
    </row>
    <row r="8" spans="2:6" x14ac:dyDescent="0.25">
      <c r="B8" s="32">
        <v>3</v>
      </c>
      <c r="C8" s="45">
        <v>7.1238103610000012</v>
      </c>
      <c r="D8" s="35">
        <f>C8*C8</f>
        <v>50.748674059490966</v>
      </c>
      <c r="E8" s="32" t="s">
        <v>46</v>
      </c>
      <c r="F8" s="37">
        <f>SQRT(F7)</f>
        <v>1.8145335822399185</v>
      </c>
    </row>
    <row r="9" spans="2:6" x14ac:dyDescent="0.25">
      <c r="B9" s="32">
        <v>4</v>
      </c>
      <c r="C9" s="45">
        <v>10.146907014986667</v>
      </c>
      <c r="D9" s="35">
        <f t="shared" ref="D9:D15" si="0">C9*C9</f>
        <v>102.95972197078562</v>
      </c>
      <c r="E9" s="32" t="s">
        <v>47</v>
      </c>
      <c r="F9" s="37">
        <f>SQRT(((F7)/F4)*(1-((F4)/(D4*10))))</f>
        <v>0.63686873296712765</v>
      </c>
    </row>
    <row r="10" spans="2:6" x14ac:dyDescent="0.25">
      <c r="B10" s="54">
        <v>5</v>
      </c>
      <c r="C10" s="45">
        <v>6.7540974263333338</v>
      </c>
      <c r="D10" s="35">
        <f t="shared" si="0"/>
        <v>45.617832044402562</v>
      </c>
      <c r="E10" s="32" t="s">
        <v>48</v>
      </c>
      <c r="F10" s="37">
        <f>F9*E4</f>
        <v>1.2832904969287622</v>
      </c>
    </row>
    <row r="11" spans="2:6" x14ac:dyDescent="0.25">
      <c r="B11" s="54">
        <v>6</v>
      </c>
      <c r="C11" s="45">
        <v>8.1079099113333335</v>
      </c>
      <c r="D11" s="35">
        <f t="shared" si="0"/>
        <v>65.738203130297308</v>
      </c>
      <c r="E11" s="32" t="s">
        <v>48</v>
      </c>
      <c r="F11" s="39">
        <f>((F10)/F6)</f>
        <v>0.1448215025472622</v>
      </c>
    </row>
    <row r="12" spans="2:6" x14ac:dyDescent="0.25">
      <c r="B12" s="32"/>
      <c r="C12" s="38"/>
      <c r="D12" s="35">
        <f t="shared" si="0"/>
        <v>0</v>
      </c>
      <c r="E12" s="32" t="s">
        <v>49</v>
      </c>
      <c r="F12" s="37">
        <f>F6+F10</f>
        <v>10.144478057870984</v>
      </c>
    </row>
    <row r="13" spans="2:6" x14ac:dyDescent="0.25">
      <c r="B13" s="32"/>
      <c r="C13" s="38"/>
      <c r="D13" s="35">
        <f t="shared" si="0"/>
        <v>0</v>
      </c>
      <c r="E13" s="32" t="s">
        <v>50</v>
      </c>
      <c r="F13" s="37">
        <f>F6-F10</f>
        <v>7.5778970640134595</v>
      </c>
    </row>
    <row r="14" spans="2:6" x14ac:dyDescent="0.25">
      <c r="B14" s="32"/>
      <c r="C14" s="38"/>
      <c r="D14" s="35">
        <f t="shared" si="0"/>
        <v>0</v>
      </c>
      <c r="E14" s="32"/>
      <c r="F14" s="37"/>
    </row>
    <row r="15" spans="2:6" x14ac:dyDescent="0.25">
      <c r="B15" s="32"/>
      <c r="C15" s="38"/>
      <c r="D15" s="35">
        <f t="shared" si="0"/>
        <v>0</v>
      </c>
      <c r="E15" s="32"/>
      <c r="F15" s="37"/>
    </row>
    <row r="16" spans="2:6" x14ac:dyDescent="0.25">
      <c r="B16" s="32" t="s">
        <v>51</v>
      </c>
      <c r="C16" s="40">
        <f>SUM(C6:C15)</f>
        <v>53.167125365653334</v>
      </c>
      <c r="D16" s="40">
        <f>SUM(D6:D15)</f>
        <v>487.5865305465652</v>
      </c>
      <c r="E16" s="32"/>
      <c r="F16" s="32"/>
    </row>
  </sheetData>
  <mergeCells count="1">
    <mergeCell ref="B3:C4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ColWidth="11.42578125" defaultRowHeight="15" x14ac:dyDescent="0.25"/>
  <sheetData>
    <row r="1" spans="1:3" x14ac:dyDescent="0.25">
      <c r="A1" s="75" t="s">
        <v>21</v>
      </c>
      <c r="B1" s="75" t="s">
        <v>69</v>
      </c>
      <c r="C1" s="75" t="s">
        <v>70</v>
      </c>
    </row>
    <row r="2" spans="1:3" x14ac:dyDescent="0.25">
      <c r="A2" s="1">
        <v>1</v>
      </c>
      <c r="B2" s="56">
        <v>391694</v>
      </c>
      <c r="C2" s="56">
        <v>1724666</v>
      </c>
    </row>
    <row r="3" spans="1:3" x14ac:dyDescent="0.25">
      <c r="A3" s="1">
        <v>2</v>
      </c>
      <c r="B3" s="56">
        <v>391684</v>
      </c>
      <c r="C3" s="56">
        <v>1724676</v>
      </c>
    </row>
    <row r="4" spans="1:3" x14ac:dyDescent="0.25">
      <c r="A4" s="1">
        <v>3</v>
      </c>
      <c r="B4" s="56">
        <v>391622</v>
      </c>
      <c r="C4" s="56">
        <v>1724701</v>
      </c>
    </row>
    <row r="5" spans="1:3" x14ac:dyDescent="0.25">
      <c r="A5" s="1">
        <v>4</v>
      </c>
      <c r="B5" s="56">
        <v>391606</v>
      </c>
      <c r="C5" s="56">
        <v>1724643</v>
      </c>
    </row>
    <row r="6" spans="1:3" x14ac:dyDescent="0.25">
      <c r="A6" s="1">
        <v>5</v>
      </c>
      <c r="B6" s="56">
        <v>391568</v>
      </c>
      <c r="C6" s="56">
        <v>1724623</v>
      </c>
    </row>
    <row r="7" spans="1:3" x14ac:dyDescent="0.25">
      <c r="A7" s="1">
        <v>6</v>
      </c>
      <c r="B7" s="56">
        <v>391546</v>
      </c>
      <c r="C7" s="56">
        <v>1724480</v>
      </c>
    </row>
    <row r="8" spans="1:3" x14ac:dyDescent="0.25">
      <c r="A8" s="1">
        <v>7</v>
      </c>
      <c r="B8" s="56">
        <v>391644</v>
      </c>
      <c r="C8" s="56">
        <v>1724448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11.42578125" style="1"/>
    <col min="5" max="5" width="16.28515625" bestFit="1" customWidth="1"/>
    <col min="6" max="6" width="13.42578125" bestFit="1" customWidth="1"/>
    <col min="7" max="7" width="19.7109375" bestFit="1" customWidth="1"/>
    <col min="11" max="11" width="16.28515625" bestFit="1" customWidth="1"/>
  </cols>
  <sheetData>
    <row r="1" spans="1:11" x14ac:dyDescent="0.25">
      <c r="A1" s="79" t="s">
        <v>74</v>
      </c>
      <c r="B1" s="76" t="s">
        <v>21</v>
      </c>
      <c r="C1" s="76" t="s">
        <v>69</v>
      </c>
      <c r="D1" s="76" t="s">
        <v>70</v>
      </c>
      <c r="E1" s="77" t="s">
        <v>72</v>
      </c>
      <c r="F1" s="79" t="s">
        <v>75</v>
      </c>
      <c r="G1" s="75" t="s">
        <v>76</v>
      </c>
      <c r="H1" s="79" t="s">
        <v>77</v>
      </c>
      <c r="I1" s="79" t="s">
        <v>78</v>
      </c>
      <c r="J1" s="79" t="s">
        <v>79</v>
      </c>
      <c r="K1" s="77" t="s">
        <v>71</v>
      </c>
    </row>
    <row r="2" spans="1:11" x14ac:dyDescent="0.25">
      <c r="A2" s="80" t="s">
        <v>80</v>
      </c>
      <c r="B2" s="76">
        <v>1</v>
      </c>
      <c r="C2" s="76">
        <v>391636</v>
      </c>
      <c r="D2" s="76">
        <v>1724639</v>
      </c>
      <c r="E2" s="78">
        <f>500/10000</f>
        <v>0.05</v>
      </c>
      <c r="G2" s="81">
        <v>41306</v>
      </c>
      <c r="K2" t="s">
        <v>73</v>
      </c>
    </row>
    <row r="3" spans="1:11" x14ac:dyDescent="0.25">
      <c r="A3" s="80" t="s">
        <v>80</v>
      </c>
      <c r="B3" s="76">
        <v>2</v>
      </c>
      <c r="C3" s="76">
        <v>391635</v>
      </c>
      <c r="D3" s="76">
        <v>1724613</v>
      </c>
      <c r="E3" s="78">
        <f t="shared" ref="E3:E7" si="0">500/10000</f>
        <v>0.05</v>
      </c>
      <c r="G3" s="81">
        <v>41306</v>
      </c>
      <c r="K3" s="1" t="s">
        <v>73</v>
      </c>
    </row>
    <row r="4" spans="1:11" x14ac:dyDescent="0.25">
      <c r="A4" s="80" t="s">
        <v>80</v>
      </c>
      <c r="B4" s="76">
        <v>3</v>
      </c>
      <c r="C4" s="76">
        <v>391610</v>
      </c>
      <c r="D4" s="76">
        <v>1724569</v>
      </c>
      <c r="E4" s="78">
        <f t="shared" si="0"/>
        <v>0.05</v>
      </c>
      <c r="G4" s="81">
        <v>41306</v>
      </c>
      <c r="K4" s="1" t="s">
        <v>73</v>
      </c>
    </row>
    <row r="5" spans="1:11" x14ac:dyDescent="0.25">
      <c r="A5" s="80" t="s">
        <v>80</v>
      </c>
      <c r="B5" s="76">
        <v>4</v>
      </c>
      <c r="C5" s="76">
        <v>391653</v>
      </c>
      <c r="D5" s="76">
        <v>1724564</v>
      </c>
      <c r="E5" s="78">
        <f t="shared" si="0"/>
        <v>0.05</v>
      </c>
      <c r="G5" s="81">
        <v>41306</v>
      </c>
      <c r="K5" s="1" t="s">
        <v>73</v>
      </c>
    </row>
    <row r="6" spans="1:11" x14ac:dyDescent="0.25">
      <c r="A6" s="80" t="s">
        <v>80</v>
      </c>
      <c r="B6" s="76">
        <v>5</v>
      </c>
      <c r="C6" s="76">
        <v>391639</v>
      </c>
      <c r="D6" s="76">
        <v>1724512</v>
      </c>
      <c r="E6" s="78">
        <f t="shared" si="0"/>
        <v>0.05</v>
      </c>
      <c r="G6" s="81">
        <v>41306</v>
      </c>
      <c r="K6" s="1" t="s">
        <v>73</v>
      </c>
    </row>
    <row r="7" spans="1:11" x14ac:dyDescent="0.25">
      <c r="A7" s="80" t="s">
        <v>80</v>
      </c>
      <c r="B7" s="76">
        <v>6</v>
      </c>
      <c r="C7" s="76">
        <v>391599</v>
      </c>
      <c r="D7" s="76">
        <v>1724515</v>
      </c>
      <c r="E7" s="78">
        <f t="shared" si="0"/>
        <v>0.05</v>
      </c>
      <c r="G7" s="81">
        <v>41306</v>
      </c>
      <c r="K7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</vt:lpstr>
      <vt:lpstr>% de abundancia</vt:lpstr>
      <vt:lpstr>cuadro 3</vt:lpstr>
      <vt:lpstr>anexo 2</vt:lpstr>
      <vt:lpstr>anexo 3</vt:lpstr>
      <vt:lpstr>analisis</vt:lpstr>
      <vt:lpstr>P. referencia</vt:lpstr>
      <vt:lpstr>Parcelas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DangerGo</cp:lastModifiedBy>
  <cp:lastPrinted>2013-10-30T04:25:04Z</cp:lastPrinted>
  <dcterms:created xsi:type="dcterms:W3CDTF">2013-02-20T15:36:32Z</dcterms:created>
  <dcterms:modified xsi:type="dcterms:W3CDTF">2017-03-26T06:35:43Z</dcterms:modified>
</cp:coreProperties>
</file>