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CARBONO_REDD+GT\ASINFOR\HENRY_LOPEZ_IF_2013\"/>
    </mc:Choice>
  </mc:AlternateContent>
  <bookViews>
    <workbookView xWindow="240" yWindow="75" windowWidth="15480" windowHeight="7995" firstSheet="1" activeTab="7"/>
  </bookViews>
  <sheets>
    <sheet name="base de datos" sheetId="1" r:id="rId1"/>
    <sheet name="% de abundancia" sheetId="4" r:id="rId2"/>
    <sheet name="cuadro 3" sheetId="5" r:id="rId3"/>
    <sheet name="anexo 2" sheetId="6" r:id="rId4"/>
    <sheet name="anexo 3" sheetId="7" r:id="rId5"/>
    <sheet name="analisis" sheetId="2" r:id="rId6"/>
    <sheet name="P. Referencia" sheetId="8" r:id="rId7"/>
    <sheet name="Parcelas" sheetId="9" r:id="rId8"/>
  </sheets>
  <definedNames>
    <definedName name="_xlnm._FilterDatabase" localSheetId="0" hidden="1">'base de datos'!$A$1:$L$108</definedName>
  </definedNames>
  <calcPr calcId="152511"/>
  <pivotCaches>
    <pivotCache cacheId="10" r:id="rId9"/>
  </pivotCaches>
</workbook>
</file>

<file path=xl/calcChain.xml><?xml version="1.0" encoding="utf-8"?>
<calcChain xmlns="http://schemas.openxmlformats.org/spreadsheetml/2006/main">
  <c r="E12" i="9" l="1"/>
  <c r="E11" i="9"/>
  <c r="E10" i="9"/>
  <c r="E9" i="9"/>
  <c r="E8" i="9"/>
  <c r="E7" i="9"/>
  <c r="E6" i="9"/>
  <c r="E5" i="9"/>
  <c r="E4" i="9"/>
  <c r="E3" i="9"/>
  <c r="E2" i="9"/>
  <c r="N3" i="1"/>
  <c r="D16" i="2" l="1"/>
  <c r="D14" i="2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5" i="7"/>
  <c r="G9" i="6"/>
  <c r="G10" i="6"/>
  <c r="G11" i="6"/>
  <c r="G12" i="6"/>
  <c r="G13" i="6"/>
  <c r="G14" i="6"/>
  <c r="G15" i="6"/>
  <c r="G6" i="6"/>
  <c r="G7" i="6"/>
  <c r="G8" i="6"/>
  <c r="G5" i="6"/>
  <c r="E18" i="5"/>
  <c r="G15" i="5"/>
  <c r="H15" i="5"/>
  <c r="I17" i="5"/>
  <c r="I16" i="5"/>
  <c r="I15" i="5"/>
  <c r="G25" i="7"/>
  <c r="G17" i="5"/>
  <c r="F17" i="5"/>
  <c r="F16" i="5"/>
  <c r="F15" i="5"/>
  <c r="I14" i="5"/>
  <c r="F14" i="5"/>
  <c r="H17" i="5"/>
  <c r="F18" i="5"/>
  <c r="H16" i="5"/>
  <c r="H18" i="5"/>
  <c r="F16" i="4"/>
  <c r="F17" i="4"/>
  <c r="G18" i="5"/>
  <c r="F15" i="4"/>
  <c r="G16" i="6"/>
  <c r="I18" i="5"/>
  <c r="J14" i="5" l="1"/>
  <c r="J15" i="5"/>
  <c r="J16" i="5"/>
  <c r="J17" i="5"/>
  <c r="C17" i="2"/>
  <c r="F6" i="2" s="1"/>
  <c r="E17" i="4"/>
  <c r="E16" i="4"/>
  <c r="E15" i="4"/>
  <c r="D15" i="4"/>
  <c r="D17" i="4"/>
  <c r="D16" i="4"/>
  <c r="J108" i="1"/>
  <c r="J107" i="1"/>
  <c r="J106" i="1"/>
  <c r="J104" i="1"/>
  <c r="J103" i="1"/>
  <c r="J102" i="1"/>
  <c r="J99" i="1"/>
  <c r="J98" i="1"/>
  <c r="J95" i="1"/>
  <c r="J92" i="1"/>
  <c r="J83" i="1"/>
  <c r="J78" i="1"/>
  <c r="J76" i="1"/>
  <c r="J72" i="1"/>
  <c r="J71" i="1"/>
  <c r="J70" i="1"/>
  <c r="J69" i="1"/>
  <c r="J68" i="1"/>
  <c r="J67" i="1"/>
  <c r="J66" i="1"/>
  <c r="J65" i="1"/>
  <c r="J64" i="1"/>
  <c r="J63" i="1"/>
  <c r="J60" i="1"/>
  <c r="J58" i="1"/>
  <c r="J48" i="1"/>
  <c r="J47" i="1"/>
  <c r="J46" i="1"/>
  <c r="J43" i="1"/>
  <c r="J42" i="1"/>
  <c r="J41" i="1"/>
  <c r="J40" i="1"/>
  <c r="J39" i="1"/>
  <c r="J38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0" i="1"/>
  <c r="J15" i="1"/>
  <c r="J14" i="1"/>
  <c r="J13" i="1"/>
  <c r="J12" i="1"/>
  <c r="J11" i="1"/>
  <c r="J10" i="1"/>
  <c r="J9" i="1"/>
  <c r="J8" i="1"/>
  <c r="J7" i="1"/>
  <c r="J5" i="1"/>
  <c r="J4" i="1"/>
  <c r="J3" i="1"/>
  <c r="J96" i="1"/>
  <c r="J93" i="1"/>
  <c r="J91" i="1"/>
  <c r="J90" i="1"/>
  <c r="J89" i="1"/>
  <c r="J88" i="1"/>
  <c r="J87" i="1"/>
  <c r="J86" i="1"/>
  <c r="J82" i="1"/>
  <c r="J81" i="1"/>
  <c r="J80" i="1"/>
  <c r="J79" i="1"/>
  <c r="J77" i="1"/>
  <c r="J59" i="1"/>
  <c r="J50" i="1"/>
  <c r="J49" i="1"/>
  <c r="J105" i="1"/>
  <c r="J101" i="1"/>
  <c r="J100" i="1"/>
  <c r="J97" i="1"/>
  <c r="J94" i="1"/>
  <c r="J85" i="1"/>
  <c r="J84" i="1"/>
  <c r="J75" i="1"/>
  <c r="J74" i="1"/>
  <c r="J73" i="1"/>
  <c r="J62" i="1"/>
  <c r="J61" i="1"/>
  <c r="J57" i="1"/>
  <c r="J56" i="1"/>
  <c r="J55" i="1"/>
  <c r="J54" i="1"/>
  <c r="J53" i="1"/>
  <c r="J52" i="1"/>
  <c r="J51" i="1"/>
  <c r="J45" i="1"/>
  <c r="J44" i="1"/>
  <c r="J37" i="1"/>
  <c r="J21" i="1"/>
  <c r="J19" i="1"/>
  <c r="J18" i="1"/>
  <c r="J17" i="1"/>
  <c r="J16" i="1"/>
  <c r="J6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J2" i="1"/>
  <c r="O3" i="1"/>
  <c r="L51" i="1" s="1"/>
  <c r="E14" i="4"/>
  <c r="D14" i="4"/>
  <c r="K10" i="4"/>
  <c r="L7" i="5"/>
  <c r="D15" i="2"/>
  <c r="D13" i="2"/>
  <c r="D12" i="2"/>
  <c r="D11" i="2"/>
  <c r="D10" i="2"/>
  <c r="D9" i="2"/>
  <c r="D8" i="2"/>
  <c r="D7" i="2"/>
  <c r="D6" i="2"/>
  <c r="H2" i="1"/>
  <c r="I2" i="1" s="1"/>
  <c r="F14" i="4"/>
  <c r="J18" i="5" l="1"/>
  <c r="D17" i="2"/>
  <c r="F7" i="2" s="1"/>
  <c r="F9" i="2" s="1"/>
  <c r="F10" i="2" s="1"/>
  <c r="F11" i="2" s="1"/>
  <c r="I44" i="1"/>
  <c r="I40" i="1"/>
  <c r="I36" i="1"/>
  <c r="I32" i="1"/>
  <c r="I28" i="1"/>
  <c r="I24" i="1"/>
  <c r="I20" i="1"/>
  <c r="I16" i="1"/>
  <c r="I12" i="1"/>
  <c r="I8" i="1"/>
  <c r="I4" i="1"/>
  <c r="I106" i="1"/>
  <c r="I47" i="1"/>
  <c r="I43" i="1"/>
  <c r="I39" i="1"/>
  <c r="I35" i="1"/>
  <c r="I31" i="1"/>
  <c r="I27" i="1"/>
  <c r="I23" i="1"/>
  <c r="I19" i="1"/>
  <c r="I15" i="1"/>
  <c r="I11" i="1"/>
  <c r="I7" i="1"/>
  <c r="I3" i="1"/>
  <c r="I105" i="1"/>
  <c r="I101" i="1"/>
  <c r="I102" i="1"/>
  <c r="I98" i="1"/>
  <c r="I94" i="1"/>
  <c r="I41" i="1"/>
  <c r="I33" i="1"/>
  <c r="I29" i="1"/>
  <c r="I21" i="1"/>
  <c r="I13" i="1"/>
  <c r="I5" i="1"/>
  <c r="I107" i="1"/>
  <c r="I99" i="1"/>
  <c r="I91" i="1"/>
  <c r="I87" i="1"/>
  <c r="I79" i="1"/>
  <c r="I75" i="1"/>
  <c r="I67" i="1"/>
  <c r="I63" i="1"/>
  <c r="I59" i="1"/>
  <c r="I51" i="1"/>
  <c r="K44" i="1"/>
  <c r="K36" i="1"/>
  <c r="K28" i="1"/>
  <c r="K16" i="1"/>
  <c r="I46" i="1"/>
  <c r="I42" i="1"/>
  <c r="I38" i="1"/>
  <c r="I34" i="1"/>
  <c r="I30" i="1"/>
  <c r="I26" i="1"/>
  <c r="I22" i="1"/>
  <c r="I18" i="1"/>
  <c r="I14" i="1"/>
  <c r="I10" i="1"/>
  <c r="I6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K81" i="1"/>
  <c r="K77" i="1"/>
  <c r="K73" i="1"/>
  <c r="K69" i="1"/>
  <c r="K65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K82" i="1"/>
  <c r="K78" i="1"/>
  <c r="K74" i="1"/>
  <c r="K70" i="1"/>
  <c r="K66" i="1"/>
  <c r="K61" i="1"/>
  <c r="K57" i="1"/>
  <c r="K53" i="1"/>
  <c r="K49" i="1"/>
  <c r="K85" i="1"/>
  <c r="I90" i="1"/>
  <c r="I86" i="1"/>
  <c r="I82" i="1"/>
  <c r="I78" i="1"/>
  <c r="I74" i="1"/>
  <c r="I70" i="1"/>
  <c r="I66" i="1"/>
  <c r="I62" i="1"/>
  <c r="I58" i="1"/>
  <c r="I54" i="1"/>
  <c r="I50" i="1"/>
  <c r="K47" i="1"/>
  <c r="K43" i="1"/>
  <c r="K39" i="1"/>
  <c r="K35" i="1"/>
  <c r="K31" i="1"/>
  <c r="K27" i="1"/>
  <c r="K23" i="1"/>
  <c r="K19" i="1"/>
  <c r="K15" i="1"/>
  <c r="K11" i="1"/>
  <c r="K7" i="1"/>
  <c r="K3" i="1"/>
  <c r="K105" i="1"/>
  <c r="K101" i="1"/>
  <c r="K97" i="1"/>
  <c r="K93" i="1"/>
  <c r="K89" i="1"/>
  <c r="K58" i="1"/>
  <c r="K54" i="1"/>
  <c r="K50" i="1"/>
  <c r="I45" i="1"/>
  <c r="I37" i="1"/>
  <c r="I25" i="1"/>
  <c r="I17" i="1"/>
  <c r="I9" i="1"/>
  <c r="I103" i="1"/>
  <c r="I95" i="1"/>
  <c r="I83" i="1"/>
  <c r="I71" i="1"/>
  <c r="I55" i="1"/>
  <c r="K40" i="1"/>
  <c r="K32" i="1"/>
  <c r="K24" i="1"/>
  <c r="K20" i="1"/>
  <c r="K12" i="1"/>
  <c r="K8" i="1"/>
  <c r="K4" i="1"/>
  <c r="K106" i="1"/>
  <c r="K102" i="1"/>
  <c r="K98" i="1"/>
  <c r="K94" i="1"/>
  <c r="K90" i="1"/>
  <c r="K86" i="1"/>
  <c r="K62" i="1"/>
  <c r="L46" i="1"/>
  <c r="L42" i="1"/>
  <c r="L38" i="1"/>
  <c r="L34" i="1"/>
  <c r="L30" i="1"/>
  <c r="L26" i="1"/>
  <c r="L22" i="1"/>
  <c r="L18" i="1"/>
  <c r="L14" i="1"/>
  <c r="L10" i="1"/>
  <c r="L6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K45" i="1"/>
  <c r="K41" i="1"/>
  <c r="K37" i="1"/>
  <c r="K33" i="1"/>
  <c r="K29" i="1"/>
  <c r="K25" i="1"/>
  <c r="K21" i="1"/>
  <c r="K17" i="1"/>
  <c r="K13" i="1"/>
  <c r="K9" i="1"/>
  <c r="K5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L47" i="1"/>
  <c r="L43" i="1"/>
  <c r="L39" i="1"/>
  <c r="L35" i="1"/>
  <c r="L31" i="1"/>
  <c r="L27" i="1"/>
  <c r="L23" i="1"/>
  <c r="L19" i="1"/>
  <c r="L15" i="1"/>
  <c r="L11" i="1"/>
  <c r="L7" i="1"/>
  <c r="L3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K46" i="1"/>
  <c r="K42" i="1"/>
  <c r="K38" i="1"/>
  <c r="K34" i="1"/>
  <c r="K30" i="1"/>
  <c r="K26" i="1"/>
  <c r="K22" i="1"/>
  <c r="K18" i="1"/>
  <c r="K14" i="1"/>
  <c r="K10" i="1"/>
  <c r="K6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L44" i="1"/>
  <c r="L40" i="1"/>
  <c r="L36" i="1"/>
  <c r="L32" i="1"/>
  <c r="L28" i="1"/>
  <c r="L24" i="1"/>
  <c r="L20" i="1"/>
  <c r="L16" i="1"/>
  <c r="L12" i="1"/>
  <c r="L8" i="1"/>
  <c r="L4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5" i="1"/>
  <c r="L41" i="1"/>
  <c r="L37" i="1"/>
  <c r="L33" i="1"/>
  <c r="L29" i="1"/>
  <c r="L25" i="1"/>
  <c r="L21" i="1"/>
  <c r="L17" i="1"/>
  <c r="L13" i="1"/>
  <c r="L9" i="1"/>
  <c r="L5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K2" i="1"/>
  <c r="L2" i="1"/>
  <c r="F18" i="4"/>
  <c r="F12" i="2" l="1"/>
  <c r="F13" i="2"/>
  <c r="G18" i="4"/>
  <c r="G15" i="4"/>
  <c r="G17" i="4"/>
  <c r="G16" i="4"/>
  <c r="G14" i="4"/>
  <c r="F8" i="2"/>
</calcChain>
</file>

<file path=xl/sharedStrings.xml><?xml version="1.0" encoding="utf-8"?>
<sst xmlns="http://schemas.openxmlformats.org/spreadsheetml/2006/main" count="474" uniqueCount="83">
  <si>
    <t>Parcela</t>
  </si>
  <si>
    <t>No. Arbol</t>
  </si>
  <si>
    <t>Nombre común</t>
  </si>
  <si>
    <t>Especie</t>
  </si>
  <si>
    <t>Clase diámetrica</t>
  </si>
  <si>
    <t>DAP (cm)</t>
  </si>
  <si>
    <t>Altura (m)</t>
  </si>
  <si>
    <t>Area Basal (m2)</t>
  </si>
  <si>
    <t>AB/Ha.</t>
  </si>
  <si>
    <t>Volumen (m3)</t>
  </si>
  <si>
    <t>Volumen/Ha.</t>
  </si>
  <si>
    <t>Densidad/Ha.</t>
  </si>
  <si>
    <t>Rótulos de fila</t>
  </si>
  <si>
    <t>Total general</t>
  </si>
  <si>
    <t>Cuenta de No. Arbol</t>
  </si>
  <si>
    <t>Suma de Densidad/Ha.</t>
  </si>
  <si>
    <t>Valores</t>
  </si>
  <si>
    <t>Promedio de DAP (cm)</t>
  </si>
  <si>
    <t>Promedio de Altura (m)</t>
  </si>
  <si>
    <t>Suma de AB/Ha.</t>
  </si>
  <si>
    <t>Suma de Volumen/Ha.</t>
  </si>
  <si>
    <t>No.</t>
  </si>
  <si>
    <t>NOMBRE COMUN</t>
  </si>
  <si>
    <t>ESPECIE</t>
  </si>
  <si>
    <t>PRESENCIA</t>
  </si>
  <si>
    <t>% DE ABUNDANCIA</t>
  </si>
  <si>
    <t>Total General</t>
  </si>
  <si>
    <t>Rodal</t>
  </si>
  <si>
    <t>Área (has)</t>
  </si>
  <si>
    <r>
      <t>Volumen m</t>
    </r>
    <r>
      <rPr>
        <b/>
        <sz val="11"/>
        <color theme="1"/>
        <rFont val="Calibri"/>
        <family val="2"/>
      </rPr>
      <t>³</t>
    </r>
  </si>
  <si>
    <t>Ha.</t>
  </si>
  <si>
    <t>Volumen/ Rodal</t>
  </si>
  <si>
    <t>No. De Parcela</t>
  </si>
  <si>
    <t>Volumen Total</t>
  </si>
  <si>
    <t>Especie y Clase Diametrica</t>
  </si>
  <si>
    <t>ANALISIS ESTADISTICO</t>
  </si>
  <si>
    <t>AREA (Ha.)</t>
  </si>
  <si>
    <t>VALOR DE T</t>
  </si>
  <si>
    <t>No. PARCELAS</t>
  </si>
  <si>
    <t>PARCELA</t>
  </si>
  <si>
    <t>VOLUMEN/ha</t>
  </si>
  <si>
    <t>(VOLUMEN)²</t>
  </si>
  <si>
    <t>PARAMETRO</t>
  </si>
  <si>
    <t>RESULTADO</t>
  </si>
  <si>
    <t>MEDIA ARITMETICA</t>
  </si>
  <si>
    <t xml:space="preserve">VARIANZA </t>
  </si>
  <si>
    <t>DESVIACION ESTANDAR</t>
  </si>
  <si>
    <t>ERROR ESTANDAR</t>
  </si>
  <si>
    <t>ERROR DE MUESTREO</t>
  </si>
  <si>
    <t xml:space="preserve">LIMITE SUPERIOR </t>
  </si>
  <si>
    <t>LIMITE INFERIOR</t>
  </si>
  <si>
    <t>TOTAL</t>
  </si>
  <si>
    <t>10 - 19.9</t>
  </si>
  <si>
    <t>20 - 29.9</t>
  </si>
  <si>
    <t>Aliso</t>
  </si>
  <si>
    <t>Alnus sp.</t>
  </si>
  <si>
    <t>ha.</t>
  </si>
  <si>
    <t>mts.</t>
  </si>
  <si>
    <t>Pinus psudostrobus</t>
  </si>
  <si>
    <t xml:space="preserve">Pino triste </t>
  </si>
  <si>
    <t>Chulube</t>
  </si>
  <si>
    <t>N.D</t>
  </si>
  <si>
    <t>Cupresus lusitanica</t>
  </si>
  <si>
    <t>Ciprés</t>
  </si>
  <si>
    <t>30 - 39.9</t>
  </si>
  <si>
    <t>40 - 49.9</t>
  </si>
  <si>
    <t>50 - 59.9</t>
  </si>
  <si>
    <t>60 - 69.9</t>
  </si>
  <si>
    <t>area parcela</t>
  </si>
  <si>
    <t>No. parcelas</t>
  </si>
  <si>
    <t>confianza</t>
  </si>
  <si>
    <t>Arbutus xalapensis</t>
  </si>
  <si>
    <t>X</t>
  </si>
  <si>
    <t>Y</t>
  </si>
  <si>
    <t>Propietario</t>
  </si>
  <si>
    <t>Edgar Ramírez</t>
  </si>
  <si>
    <t>FECHA</t>
  </si>
  <si>
    <t>BASE_DATOS</t>
  </si>
  <si>
    <t>AREA_SITIO_HA</t>
  </si>
  <si>
    <t>AÑO</t>
  </si>
  <si>
    <t>MUNICIPIO</t>
  </si>
  <si>
    <t>DEPTO</t>
  </si>
  <si>
    <t>BD5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</si>
</sst>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\ &quot;m³&quot;"/>
  </numFmts>
  <fonts count="11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name val="Arial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/>
    <xf numFmtId="9" fontId="4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/>
    <xf numFmtId="2" fontId="0" fillId="0" borderId="0" xfId="0" applyNumberFormat="1"/>
    <xf numFmtId="2" fontId="0" fillId="0" borderId="0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2" fontId="2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Border="1"/>
    <xf numFmtId="0" fontId="2" fillId="4" borderId="1" xfId="0" applyFont="1" applyFill="1" applyBorder="1" applyAlignment="1">
      <alignment horizontal="left"/>
    </xf>
    <xf numFmtId="1" fontId="2" fillId="4" borderId="1" xfId="0" applyNumberFormat="1" applyFont="1" applyFill="1" applyBorder="1"/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5" borderId="1" xfId="0" applyFont="1" applyFill="1" applyBorder="1"/>
    <xf numFmtId="1" fontId="2" fillId="5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2" fontId="0" fillId="3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wrapText="1"/>
    </xf>
    <xf numFmtId="1" fontId="0" fillId="5" borderId="1" xfId="0" applyNumberFormat="1" applyFill="1" applyBorder="1" applyAlignment="1">
      <alignment horizontal="center" wrapText="1"/>
    </xf>
    <xf numFmtId="2" fontId="0" fillId="5" borderId="1" xfId="0" applyNumberFormat="1" applyFill="1" applyBorder="1" applyAlignment="1">
      <alignment horizontal="center" wrapText="1"/>
    </xf>
    <xf numFmtId="2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/>
    </xf>
    <xf numFmtId="0" fontId="5" fillId="0" borderId="1" xfId="1" applyFont="1" applyBorder="1"/>
    <xf numFmtId="0" fontId="5" fillId="7" borderId="1" xfId="1" applyFont="1" applyFill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165" fontId="6" fillId="0" borderId="1" xfId="1" applyNumberFormat="1" applyFont="1" applyBorder="1" applyAlignment="1">
      <alignment horizontal="right"/>
    </xf>
    <xf numFmtId="164" fontId="6" fillId="0" borderId="1" xfId="1" applyNumberFormat="1" applyFont="1" applyBorder="1" applyAlignment="1">
      <alignment horizontal="right"/>
    </xf>
    <xf numFmtId="2" fontId="0" fillId="0" borderId="1" xfId="0" applyNumberFormat="1" applyFill="1" applyBorder="1" applyAlignment="1">
      <alignment horizontal="center" vertical="center"/>
    </xf>
    <xf numFmtId="10" fontId="6" fillId="8" borderId="1" xfId="2" applyNumberFormat="1" applyFont="1" applyFill="1" applyBorder="1" applyAlignment="1">
      <alignment horizontal="right"/>
    </xf>
    <xf numFmtId="164" fontId="6" fillId="0" borderId="1" xfId="1" applyNumberFormat="1" applyFont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2" fontId="0" fillId="5" borderId="2" xfId="0" applyNumberFormat="1" applyFill="1" applyBorder="1" applyAlignment="1">
      <alignment horizontal="center" wrapText="1"/>
    </xf>
    <xf numFmtId="0" fontId="0" fillId="5" borderId="2" xfId="0" applyFill="1" applyBorder="1" applyAlignment="1">
      <alignment horizontal="center" wrapText="1"/>
    </xf>
    <xf numFmtId="0" fontId="0" fillId="5" borderId="2" xfId="0" applyFill="1" applyBorder="1" applyAlignment="1">
      <alignment horizontal="left"/>
    </xf>
    <xf numFmtId="0" fontId="0" fillId="3" borderId="0" xfId="0" applyFill="1" applyBorder="1"/>
    <xf numFmtId="2" fontId="0" fillId="0" borderId="1" xfId="0" applyNumberFormat="1" applyBorder="1" applyAlignment="1">
      <alignment horizontal="center" vertical="center"/>
    </xf>
    <xf numFmtId="0" fontId="5" fillId="0" borderId="1" xfId="1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Border="1"/>
    <xf numFmtId="2" fontId="0" fillId="0" borderId="0" xfId="0" applyNumberFormat="1" applyBorder="1"/>
    <xf numFmtId="0" fontId="7" fillId="9" borderId="0" xfId="0" applyFont="1" applyFill="1" applyBorder="1"/>
    <xf numFmtId="0" fontId="0" fillId="11" borderId="0" xfId="0" applyFill="1" applyBorder="1"/>
    <xf numFmtId="0" fontId="0" fillId="10" borderId="0" xfId="0" applyFill="1" applyBorder="1"/>
    <xf numFmtId="0" fontId="0" fillId="0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1" fillId="2" borderId="1" xfId="0" applyFont="1" applyFill="1" applyBorder="1" applyAlignment="1">
      <alignment horizontal="center" vertical="center" wrapText="1"/>
    </xf>
    <xf numFmtId="2" fontId="0" fillId="5" borderId="2" xfId="0" applyNumberFormat="1" applyFill="1" applyBorder="1" applyAlignment="1">
      <alignment horizontal="center"/>
    </xf>
    <xf numFmtId="0" fontId="7" fillId="0" borderId="0" xfId="0" applyFont="1"/>
    <xf numFmtId="9" fontId="7" fillId="0" borderId="0" xfId="0" applyNumberFormat="1" applyFont="1"/>
    <xf numFmtId="2" fontId="2" fillId="4" borderId="1" xfId="0" applyNumberFormat="1" applyFont="1" applyFill="1" applyBorder="1"/>
    <xf numFmtId="2" fontId="0" fillId="3" borderId="1" xfId="0" applyNumberFormat="1" applyFont="1" applyFill="1" applyBorder="1" applyAlignment="1">
      <alignment horizontal="center" vertical="center"/>
    </xf>
    <xf numFmtId="2" fontId="2" fillId="5" borderId="2" xfId="0" applyNumberFormat="1" applyFont="1" applyFill="1" applyBorder="1" applyAlignment="1">
      <alignment horizontal="center"/>
    </xf>
    <xf numFmtId="0" fontId="8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7" fontId="0" fillId="0" borderId="0" xfId="0" applyNumberFormat="1"/>
    <xf numFmtId="0" fontId="9" fillId="14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</cellXfs>
  <cellStyles count="3">
    <cellStyle name="Normal" xfId="0" builtinId="0"/>
    <cellStyle name="Normal 2" xfId="1"/>
    <cellStyle name="Porcentaje 2" xfId="2"/>
  </cellStyles>
  <dxfs count="41">
    <dxf>
      <border>
        <bottom style="thin">
          <color indexed="64"/>
        </bottom>
        <horizontal style="thin">
          <color indexed="64"/>
        </horizontal>
      </border>
    </dxf>
    <dxf>
      <alignment horizontal="center" readingOrder="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numFmt numFmtId="2" formatCode="0.00"/>
    </dxf>
    <dxf>
      <numFmt numFmtId="1" formatCode="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final" refreshedDate="41758.779121064814" createdVersion="3" refreshedVersion="3" minRefreshableVersion="3" recordCount="107">
  <cacheSource type="worksheet">
    <worksheetSource ref="A1:O108" sheet="base de datos"/>
  </cacheSource>
  <cacheFields count="15">
    <cacheField name="Parcela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No. Arbol" numFmtId="0">
      <sharedItems containsSemiMixedTypes="0" containsString="0" containsNumber="1" containsInteger="1" minValue="1" maxValue="13"/>
    </cacheField>
    <cacheField name="Nombre común" numFmtId="0">
      <sharedItems count="4">
        <s v="Pino triste "/>
        <s v="Chulube"/>
        <s v="Ciprés"/>
        <s v="Aliso"/>
      </sharedItems>
    </cacheField>
    <cacheField name="Especie" numFmtId="0">
      <sharedItems count="4">
        <s v="Pinus psudostrobus"/>
        <s v="N.D"/>
        <s v="Cupresus lusitanica"/>
        <s v="Alnus sp."/>
      </sharedItems>
    </cacheField>
    <cacheField name="Clase diámetrica" numFmtId="0">
      <sharedItems count="6">
        <s v="30 - 39.9"/>
        <s v="10 - 19.9"/>
        <s v="20 - 29.9"/>
        <s v="40 - 49.9"/>
        <s v="50 - 59.9"/>
        <s v="60 - 69.9"/>
      </sharedItems>
    </cacheField>
    <cacheField name="DAP (cm)" numFmtId="0">
      <sharedItems containsSemiMixedTypes="0" containsString="0" containsNumber="1" minValue="10" maxValue="65"/>
    </cacheField>
    <cacheField name="Altura (m)" numFmtId="0">
      <sharedItems containsSemiMixedTypes="0" containsString="0" containsNumber="1" containsInteger="1" minValue="5" maxValue="22"/>
    </cacheField>
    <cacheField name="Area Basal (m2)" numFmtId="2">
      <sharedItems containsSemiMixedTypes="0" containsString="0" containsNumber="1" minValue="7.8540000000000016E-3" maxValue="0.3318315"/>
    </cacheField>
    <cacheField name="AB/Ha." numFmtId="2">
      <sharedItems containsSemiMixedTypes="0" containsString="0" containsNumber="1" minValue="1.4280000000000001E-2" maxValue="0.60332999999999992"/>
    </cacheField>
    <cacheField name="Volumen (m3)" numFmtId="2">
      <sharedItems containsSemiMixedTypes="0" containsString="0" containsNumber="1" minValue="2.2387322799999998E-2" maxValue="2.5489767780000001"/>
    </cacheField>
    <cacheField name="Volumen/Ha." numFmtId="2">
      <sharedItems containsSemiMixedTypes="0" containsString="0" containsNumber="1" minValue="4.0704223272727269E-2" maxValue="4.6345032327272726"/>
    </cacheField>
    <cacheField name="Densidad/Ha." numFmtId="2">
      <sharedItems containsSemiMixedTypes="0" containsString="0" containsNumber="1" minValue="1.8181818181818181" maxValue="1.8181818181818181"/>
    </cacheField>
    <cacheField name="No. parcelas" numFmtId="0">
      <sharedItems containsString="0" containsBlank="1" containsNumber="1" containsInteger="1" minValue="11" maxValue="11"/>
    </cacheField>
    <cacheField name="area parcela" numFmtId="0">
      <sharedItems containsBlank="1" containsMixedTypes="1" containsNumber="1" containsInteger="1" minValue="5500" maxValue="5500"/>
    </cacheField>
    <cacheField name="500" numFmtId="0">
      <sharedItems containsBlank="1" containsMixedTypes="1" containsNumber="1" minValue="0.55000000000000004" maxValue="0.5500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  <n v="1"/>
    <x v="0"/>
    <x v="0"/>
    <x v="0"/>
    <n v="35"/>
    <n v="19"/>
    <n v="9.6211499999999991E-2"/>
    <n v="0.17492999999999997"/>
    <n v="0.67086720679999989"/>
    <n v="1.2197585578181815"/>
    <n v="1.8181818181818181"/>
    <n v="11"/>
    <s v="mts."/>
    <s v="ha."/>
  </r>
  <r>
    <x v="0"/>
    <n v="2"/>
    <x v="0"/>
    <x v="0"/>
    <x v="1"/>
    <n v="13"/>
    <n v="15"/>
    <n v="1.3273260000000002E-2"/>
    <n v="2.41332E-2"/>
    <n v="7.75953588E-2"/>
    <n v="0.14108247054545453"/>
    <n v="1.8181818181818181"/>
    <m/>
    <n v="5500"/>
    <n v="0.55000000000000004"/>
  </r>
  <r>
    <x v="0"/>
    <n v="3"/>
    <x v="0"/>
    <x v="0"/>
    <x v="0"/>
    <n v="30.5"/>
    <n v="18"/>
    <n v="7.3061834999999992E-2"/>
    <n v="0.13283969999999998"/>
    <n v="0.48406094819999995"/>
    <n v="0.88011081490909071"/>
    <n v="1.8181818181818181"/>
    <m/>
    <m/>
    <m/>
  </r>
  <r>
    <x v="0"/>
    <n v="4"/>
    <x v="0"/>
    <x v="0"/>
    <x v="2"/>
    <n v="26"/>
    <n v="13"/>
    <n v="5.3093040000000008E-2"/>
    <n v="9.6532800000000002E-2"/>
    <n v="0.25646367439999995"/>
    <n v="0.4662975898181817"/>
    <n v="1.8181818181818181"/>
    <m/>
    <m/>
    <m/>
  </r>
  <r>
    <x v="0"/>
    <n v="5"/>
    <x v="1"/>
    <x v="1"/>
    <x v="1"/>
    <n v="13"/>
    <n v="12"/>
    <n v="1.3273260000000002E-2"/>
    <n v="2.41332E-2"/>
    <n v="0.202637238"/>
    <n v="0.36843134181818177"/>
    <n v="1.8181818181818181"/>
    <m/>
    <m/>
    <m/>
  </r>
  <r>
    <x v="0"/>
    <n v="6"/>
    <x v="0"/>
    <x v="0"/>
    <x v="1"/>
    <n v="17"/>
    <n v="15"/>
    <n v="2.2698060000000003E-2"/>
    <n v="4.1269199999999999E-2"/>
    <n v="0.1290847188"/>
    <n v="0.2346994887272727"/>
    <n v="1.8181818181818181"/>
    <m/>
    <m/>
    <m/>
  </r>
  <r>
    <x v="0"/>
    <n v="7"/>
    <x v="0"/>
    <x v="0"/>
    <x v="2"/>
    <n v="20"/>
    <n v="14"/>
    <n v="3.1416000000000006E-2"/>
    <n v="5.7120000000000004E-2"/>
    <n v="0.16527029679999999"/>
    <n v="0.30049144872727268"/>
    <n v="1.8181818181818181"/>
    <m/>
    <m/>
    <m/>
  </r>
  <r>
    <x v="0"/>
    <n v="8"/>
    <x v="0"/>
    <x v="0"/>
    <x v="3"/>
    <n v="40"/>
    <n v="19"/>
    <n v="0.12566400000000003"/>
    <n v="0.22848000000000002"/>
    <n v="0.87467925679999992"/>
    <n v="1.5903259214545451"/>
    <n v="1.8181818181818181"/>
    <m/>
    <m/>
    <m/>
  </r>
  <r>
    <x v="1"/>
    <n v="1"/>
    <x v="0"/>
    <x v="0"/>
    <x v="0"/>
    <n v="39"/>
    <n v="20"/>
    <n v="0.11945934000000001"/>
    <n v="0.2171988"/>
    <n v="0.87525136079999988"/>
    <n v="1.5913661105454542"/>
    <n v="1.8181818181818181"/>
    <m/>
    <m/>
    <m/>
  </r>
  <r>
    <x v="1"/>
    <n v="2"/>
    <x v="0"/>
    <x v="0"/>
    <x v="0"/>
    <n v="33"/>
    <n v="18"/>
    <n v="8.5530060000000005E-2"/>
    <n v="0.15550919999999999"/>
    <n v="0.56580030719999996"/>
    <n v="1.028727831272727"/>
    <n v="1.8181818181818181"/>
    <m/>
    <m/>
    <m/>
  </r>
  <r>
    <x v="1"/>
    <n v="3"/>
    <x v="0"/>
    <x v="0"/>
    <x v="1"/>
    <n v="18"/>
    <n v="16"/>
    <n v="2.5446959999999998E-2"/>
    <n v="4.6267199999999994E-2"/>
    <n v="0.1533705336"/>
    <n v="0.27885551563636363"/>
    <n v="1.8181818181818181"/>
    <m/>
    <m/>
    <m/>
  </r>
  <r>
    <x v="1"/>
    <n v="4"/>
    <x v="0"/>
    <x v="0"/>
    <x v="1"/>
    <n v="16"/>
    <n v="12"/>
    <n v="2.0106240000000001E-2"/>
    <n v="3.65568E-2"/>
    <n v="9.2956351199999995E-2"/>
    <n v="0.16901154763636361"/>
    <n v="1.8181818181818181"/>
    <m/>
    <m/>
    <m/>
  </r>
  <r>
    <x v="1"/>
    <n v="5"/>
    <x v="0"/>
    <x v="0"/>
    <x v="0"/>
    <n v="32"/>
    <n v="14"/>
    <n v="8.0424960000000004E-2"/>
    <n v="0.1462272"/>
    <n v="0.41516532399999995"/>
    <n v="0.75484604363636343"/>
    <n v="1.8181818181818181"/>
    <m/>
    <m/>
    <m/>
  </r>
  <r>
    <x v="1"/>
    <n v="6"/>
    <x v="0"/>
    <x v="0"/>
    <x v="2"/>
    <n v="22"/>
    <n v="12"/>
    <n v="3.8013359999999996E-2"/>
    <n v="6.9115199999999988E-2"/>
    <n v="0.17122017840000001"/>
    <n v="0.31130941527272726"/>
    <n v="1.8181818181818181"/>
    <m/>
    <m/>
    <m/>
  </r>
  <r>
    <x v="1"/>
    <n v="7"/>
    <x v="1"/>
    <x v="1"/>
    <x v="1"/>
    <n v="13"/>
    <n v="9"/>
    <n v="1.3273260000000002E-2"/>
    <n v="2.41332E-2"/>
    <n v="0.17906224500000001"/>
    <n v="0.32556771818181818"/>
    <n v="1.8181818181818181"/>
    <m/>
    <m/>
    <m/>
  </r>
  <r>
    <x v="1"/>
    <n v="8"/>
    <x v="1"/>
    <x v="1"/>
    <x v="1"/>
    <n v="12"/>
    <n v="5"/>
    <n v="1.130976E-2"/>
    <n v="2.05632E-2"/>
    <n v="0.14181654599999999"/>
    <n v="0.25784826545454542"/>
    <n v="1.8181818181818181"/>
    <m/>
    <m/>
    <m/>
  </r>
  <r>
    <x v="1"/>
    <n v="9"/>
    <x v="1"/>
    <x v="1"/>
    <x v="1"/>
    <n v="12"/>
    <n v="7"/>
    <n v="1.130976E-2"/>
    <n v="2.05632E-2"/>
    <n v="0.15520825799999999"/>
    <n v="0.2821968327272727"/>
    <n v="1.8181818181818181"/>
    <m/>
    <m/>
    <m/>
  </r>
  <r>
    <x v="1"/>
    <n v="10"/>
    <x v="1"/>
    <x v="1"/>
    <x v="1"/>
    <n v="14"/>
    <n v="5"/>
    <n v="1.5393840000000002E-2"/>
    <n v="2.7988800000000001E-2"/>
    <n v="0.153906286"/>
    <n v="0.27982961090909092"/>
    <n v="1.8181818181818181"/>
    <m/>
    <m/>
    <m/>
  </r>
  <r>
    <x v="1"/>
    <n v="11"/>
    <x v="0"/>
    <x v="0"/>
    <x v="1"/>
    <n v="13"/>
    <n v="7"/>
    <n v="1.3273260000000002E-2"/>
    <n v="2.41332E-2"/>
    <n v="3.8921128400000005E-2"/>
    <n v="7.0765688000000007E-2"/>
    <n v="1.8181818181818181"/>
    <m/>
    <m/>
    <m/>
  </r>
  <r>
    <x v="1"/>
    <n v="12"/>
    <x v="1"/>
    <x v="1"/>
    <x v="1"/>
    <n v="13"/>
    <n v="7"/>
    <n v="1.3273260000000002E-2"/>
    <n v="2.41332E-2"/>
    <n v="0.16334558300000002"/>
    <n v="0.29699196909090908"/>
    <n v="1.8181818181818181"/>
    <m/>
    <m/>
    <m/>
  </r>
  <r>
    <x v="1"/>
    <n v="13"/>
    <x v="0"/>
    <x v="0"/>
    <x v="1"/>
    <n v="17"/>
    <n v="12"/>
    <n v="2.2698060000000003E-2"/>
    <n v="4.1269199999999999E-2"/>
    <n v="0.1042840104"/>
    <n v="0.18960729163636361"/>
    <n v="1.8181818181818181"/>
    <m/>
    <m/>
    <m/>
  </r>
  <r>
    <x v="2"/>
    <n v="1"/>
    <x v="0"/>
    <x v="0"/>
    <x v="4"/>
    <n v="51"/>
    <n v="18"/>
    <n v="0.20428253999999998"/>
    <n v="0.37142279999999994"/>
    <n v="1.3443194303999999"/>
    <n v="2.4442171461818178"/>
    <n v="1.8181818181818181"/>
    <m/>
    <m/>
    <m/>
  </r>
  <r>
    <x v="2"/>
    <n v="2"/>
    <x v="0"/>
    <x v="0"/>
    <x v="3"/>
    <n v="41"/>
    <n v="17"/>
    <n v="0.13202573999999997"/>
    <n v="0.24004679999999992"/>
    <n v="0.82253197719999993"/>
    <n v="1.4955126858181815"/>
    <n v="1.8181818181818181"/>
    <m/>
    <m/>
    <m/>
  </r>
  <r>
    <x v="2"/>
    <n v="3"/>
    <x v="0"/>
    <x v="0"/>
    <x v="2"/>
    <n v="20"/>
    <n v="12"/>
    <n v="3.1416000000000006E-2"/>
    <n v="5.7120000000000004E-2"/>
    <n v="0.14238613680000001"/>
    <n v="0.25888388509090909"/>
    <n v="1.8181818181818181"/>
    <m/>
    <m/>
    <m/>
  </r>
  <r>
    <x v="2"/>
    <n v="4"/>
    <x v="0"/>
    <x v="0"/>
    <x v="3"/>
    <n v="42"/>
    <n v="15"/>
    <n v="0.13854455999999998"/>
    <n v="0.25189919999999993"/>
    <n v="0.76197476879999992"/>
    <n v="1.3854086705454542"/>
    <n v="1.8181818181818181"/>
    <m/>
    <m/>
    <m/>
  </r>
  <r>
    <x v="2"/>
    <n v="5"/>
    <x v="0"/>
    <x v="0"/>
    <x v="0"/>
    <n v="31"/>
    <n v="18"/>
    <n v="7.5476940000000006E-2"/>
    <n v="0.13723080000000001"/>
    <n v="0.49989392639999997"/>
    <n v="0.90889804799999985"/>
    <n v="1.8181818181818181"/>
    <m/>
    <m/>
    <m/>
  </r>
  <r>
    <x v="2"/>
    <n v="6"/>
    <x v="0"/>
    <x v="0"/>
    <x v="0"/>
    <n v="30"/>
    <n v="14"/>
    <n v="7.0685999999999999E-2"/>
    <n v="0.12852"/>
    <n v="0.36550669679999997"/>
    <n v="0.66455763054545447"/>
    <n v="1.8181818181818181"/>
    <m/>
    <m/>
    <m/>
  </r>
  <r>
    <x v="2"/>
    <n v="7"/>
    <x v="0"/>
    <x v="0"/>
    <x v="3"/>
    <n v="40"/>
    <n v="15"/>
    <n v="0.12566400000000003"/>
    <n v="0.22848000000000002"/>
    <n v="0.69160597679999991"/>
    <n v="1.2574654123636362"/>
    <n v="1.8181818181818181"/>
    <m/>
    <m/>
    <m/>
  </r>
  <r>
    <x v="2"/>
    <n v="8"/>
    <x v="0"/>
    <x v="0"/>
    <x v="0"/>
    <n v="31"/>
    <n v="15"/>
    <n v="7.5476940000000006E-2"/>
    <n v="0.13723080000000001"/>
    <n v="0.41742513479999993"/>
    <n v="0.75895479054545434"/>
    <n v="1.8181818181818181"/>
    <m/>
    <m/>
    <m/>
  </r>
  <r>
    <x v="2"/>
    <n v="9"/>
    <x v="0"/>
    <x v="0"/>
    <x v="0"/>
    <n v="30"/>
    <n v="12"/>
    <n v="7.0685999999999999E-2"/>
    <n v="0.12852"/>
    <n v="0.31401733679999994"/>
    <n v="0.57094061236363625"/>
    <n v="1.8181818181818181"/>
    <m/>
    <m/>
    <m/>
  </r>
  <r>
    <x v="2"/>
    <n v="10"/>
    <x v="0"/>
    <x v="0"/>
    <x v="2"/>
    <n v="20"/>
    <n v="11"/>
    <n v="3.1416000000000006E-2"/>
    <n v="5.7120000000000004E-2"/>
    <n v="0.13094405679999999"/>
    <n v="0.23808010327272722"/>
    <n v="1.8181818181818181"/>
    <m/>
    <m/>
    <m/>
  </r>
  <r>
    <x v="2"/>
    <n v="11"/>
    <x v="0"/>
    <x v="0"/>
    <x v="1"/>
    <n v="12"/>
    <n v="13"/>
    <n v="1.130976E-2"/>
    <n v="2.05632E-2"/>
    <n v="5.8630111200000001E-2"/>
    <n v="0.10660020218181818"/>
    <n v="1.8181818181818181"/>
    <m/>
    <m/>
    <m/>
  </r>
  <r>
    <x v="2"/>
    <n v="12"/>
    <x v="0"/>
    <x v="0"/>
    <x v="0"/>
    <n v="30"/>
    <n v="14"/>
    <n v="7.0685999999999999E-2"/>
    <n v="0.12852"/>
    <n v="0.36550669679999997"/>
    <n v="0.66455763054545447"/>
    <n v="1.8181818181818181"/>
    <m/>
    <m/>
    <m/>
  </r>
  <r>
    <x v="3"/>
    <n v="1"/>
    <x v="0"/>
    <x v="0"/>
    <x v="1"/>
    <n v="17"/>
    <n v="12"/>
    <n v="2.2698060000000003E-2"/>
    <n v="4.1269199999999999E-2"/>
    <n v="0.1042840104"/>
    <n v="0.18960729163636361"/>
    <n v="1.8181818181818181"/>
    <m/>
    <m/>
    <m/>
  </r>
  <r>
    <x v="3"/>
    <n v="2"/>
    <x v="0"/>
    <x v="0"/>
    <x v="1"/>
    <n v="18"/>
    <n v="13"/>
    <n v="2.5446959999999998E-2"/>
    <n v="4.6267199999999994E-2"/>
    <n v="0.12556627919999999"/>
    <n v="0.22830232581818177"/>
    <n v="1.8181818181818181"/>
    <m/>
    <m/>
    <m/>
  </r>
  <r>
    <x v="3"/>
    <n v="3"/>
    <x v="1"/>
    <x v="1"/>
    <x v="1"/>
    <n v="12"/>
    <n v="10"/>
    <n v="1.130976E-2"/>
    <n v="2.05632E-2"/>
    <n v="0.17529582599999999"/>
    <n v="0.3187196836363636"/>
    <n v="1.8181818181818181"/>
    <m/>
    <m/>
    <m/>
  </r>
  <r>
    <x v="3"/>
    <n v="4"/>
    <x v="0"/>
    <x v="0"/>
    <x v="1"/>
    <n v="11"/>
    <n v="11"/>
    <n v="9.503339999999999E-3"/>
    <n v="1.7278799999999997E-2"/>
    <n v="4.3154697999999991E-2"/>
    <n v="7.8463087272727244E-2"/>
    <n v="1.8181818181818181"/>
    <m/>
    <m/>
    <m/>
  </r>
  <r>
    <x v="3"/>
    <n v="5"/>
    <x v="0"/>
    <x v="0"/>
    <x v="2"/>
    <n v="24"/>
    <n v="17"/>
    <n v="4.5239040000000001E-2"/>
    <n v="8.2252800000000001E-2"/>
    <n v="0.28518329519999996"/>
    <n v="0.51851508218181808"/>
    <n v="1.8181818181818181"/>
    <m/>
    <m/>
    <m/>
  </r>
  <r>
    <x v="3"/>
    <n v="6"/>
    <x v="0"/>
    <x v="0"/>
    <x v="2"/>
    <n v="27"/>
    <n v="18"/>
    <n v="5.7255660000000007E-2"/>
    <n v="0.1041012"/>
    <n v="0.38043861119999994"/>
    <n v="0.69170656581818168"/>
    <n v="1.8181818181818181"/>
    <m/>
    <m/>
    <m/>
  </r>
  <r>
    <x v="3"/>
    <n v="7"/>
    <x v="0"/>
    <x v="0"/>
    <x v="2"/>
    <n v="27"/>
    <n v="15"/>
    <n v="5.7255660000000007E-2"/>
    <n v="0.1041012"/>
    <n v="0.31787903879999996"/>
    <n v="0.57796188872727261"/>
    <n v="1.8181818181818181"/>
    <m/>
    <m/>
    <m/>
  </r>
  <r>
    <x v="3"/>
    <n v="8"/>
    <x v="0"/>
    <x v="0"/>
    <x v="3"/>
    <n v="41"/>
    <n v="16"/>
    <n v="0.13202573999999997"/>
    <n v="0.24004679999999992"/>
    <n v="0.77444663599999997"/>
    <n v="1.4080847927272726"/>
    <n v="1.8181818181818181"/>
    <m/>
    <m/>
    <m/>
  </r>
  <r>
    <x v="3"/>
    <n v="9"/>
    <x v="0"/>
    <x v="0"/>
    <x v="1"/>
    <n v="17"/>
    <n v="9"/>
    <n v="2.2698060000000003E-2"/>
    <n v="4.1269199999999999E-2"/>
    <n v="7.9483302000000006E-2"/>
    <n v="0.14451509454545455"/>
    <n v="1.8181818181818181"/>
    <m/>
    <m/>
    <m/>
  </r>
  <r>
    <x v="3"/>
    <n v="10"/>
    <x v="1"/>
    <x v="1"/>
    <x v="1"/>
    <n v="11"/>
    <n v="8"/>
    <n v="9.503339999999999E-3"/>
    <n v="1.7278799999999997E-2"/>
    <n v="0.15334829799999999"/>
    <n v="0.27881508727272725"/>
    <n v="1.8181818181818181"/>
    <m/>
    <m/>
    <m/>
  </r>
  <r>
    <x v="3"/>
    <n v="11"/>
    <x v="1"/>
    <x v="1"/>
    <x v="2"/>
    <n v="25"/>
    <n v="11"/>
    <n v="4.9087499999999999E-2"/>
    <n v="8.9249999999999996E-2"/>
    <n v="0.42801789099999998"/>
    <n v="0.7782143472727272"/>
    <n v="1.8181818181818181"/>
    <m/>
    <m/>
    <m/>
  </r>
  <r>
    <x v="3"/>
    <n v="12"/>
    <x v="0"/>
    <x v="0"/>
    <x v="2"/>
    <n v="26"/>
    <n v="13"/>
    <n v="5.3093040000000008E-2"/>
    <n v="9.6532800000000002E-2"/>
    <n v="0.25646367439999995"/>
    <n v="0.4662975898181817"/>
    <n v="1.8181818181818181"/>
    <m/>
    <m/>
    <m/>
  </r>
  <r>
    <x v="3"/>
    <n v="13"/>
    <x v="0"/>
    <x v="0"/>
    <x v="2"/>
    <n v="20"/>
    <n v="12"/>
    <n v="3.1416000000000006E-2"/>
    <n v="5.7120000000000004E-2"/>
    <n v="0.14238613680000001"/>
    <n v="0.25888388509090909"/>
    <n v="1.8181818181818181"/>
    <m/>
    <m/>
    <m/>
  </r>
  <r>
    <x v="4"/>
    <n v="1"/>
    <x v="0"/>
    <x v="0"/>
    <x v="4"/>
    <n v="51"/>
    <n v="17"/>
    <n v="0.20428253999999998"/>
    <n v="0.37142279999999994"/>
    <n v="1.2699173052000001"/>
    <n v="2.3089405549090909"/>
    <n v="1.8181818181818181"/>
    <m/>
    <m/>
    <m/>
  </r>
  <r>
    <x v="4"/>
    <n v="2"/>
    <x v="2"/>
    <x v="2"/>
    <x v="0"/>
    <n v="31"/>
    <n v="13"/>
    <n v="7.5476940000000006E-2"/>
    <n v="0.13723080000000001"/>
    <n v="0.3746802984"/>
    <n v="0.68123690618181809"/>
    <n v="1.8181818181818181"/>
    <m/>
    <m/>
    <m/>
  </r>
  <r>
    <x v="4"/>
    <n v="3"/>
    <x v="2"/>
    <x v="2"/>
    <x v="3"/>
    <n v="40"/>
    <n v="16"/>
    <n v="0.12566400000000003"/>
    <n v="0.22848000000000002"/>
    <n v="0.75364823219999999"/>
    <n v="1.3702695130909091"/>
    <n v="1.8181818181818181"/>
    <m/>
    <m/>
    <m/>
  </r>
  <r>
    <x v="4"/>
    <n v="4"/>
    <x v="1"/>
    <x v="1"/>
    <x v="1"/>
    <n v="14"/>
    <n v="10"/>
    <n v="1.5393840000000002E-2"/>
    <n v="2.7988800000000001E-2"/>
    <n v="0.19947530600000002"/>
    <n v="0.36268237454545454"/>
    <n v="1.8181818181818181"/>
    <m/>
    <m/>
    <m/>
  </r>
  <r>
    <x v="4"/>
    <n v="5"/>
    <x v="1"/>
    <x v="1"/>
    <x v="0"/>
    <n v="32"/>
    <n v="11"/>
    <n v="8.0424960000000004E-2"/>
    <n v="0.1462272"/>
    <n v="0.63210200200000011"/>
    <n v="1.1492763672727273"/>
    <n v="1.8181818181818181"/>
    <m/>
    <m/>
    <m/>
  </r>
  <r>
    <x v="4"/>
    <n v="6"/>
    <x v="1"/>
    <x v="1"/>
    <x v="0"/>
    <n v="31"/>
    <n v="13"/>
    <n v="7.5476940000000006E-2"/>
    <n v="0.13723080000000001"/>
    <n v="0.68924927300000005"/>
    <n v="1.2531804963636364"/>
    <n v="1.8181818181818181"/>
    <m/>
    <m/>
    <m/>
  </r>
  <r>
    <x v="4"/>
    <n v="7"/>
    <x v="1"/>
    <x v="1"/>
    <x v="1"/>
    <n v="17"/>
    <n v="10"/>
    <n v="2.2698060000000003E-2"/>
    <n v="4.1269199999999999E-2"/>
    <n v="0.24271937599999999"/>
    <n v="0.44130795636363629"/>
    <n v="1.8181818181818181"/>
    <m/>
    <m/>
    <m/>
  </r>
  <r>
    <x v="4"/>
    <n v="8"/>
    <x v="1"/>
    <x v="1"/>
    <x v="3"/>
    <n v="40"/>
    <n v="16"/>
    <n v="0.12566400000000003"/>
    <n v="0.22848000000000002"/>
    <n v="1.298711666"/>
    <n v="2.3612939381818179"/>
    <n v="1.8181818181818181"/>
    <m/>
    <m/>
    <m/>
  </r>
  <r>
    <x v="4"/>
    <n v="9"/>
    <x v="1"/>
    <x v="1"/>
    <x v="1"/>
    <n v="14"/>
    <n v="12"/>
    <n v="1.5393840000000002E-2"/>
    <n v="2.7988800000000001E-2"/>
    <n v="0.21770291400000003"/>
    <n v="0.39582348000000001"/>
    <n v="1.8181818181818181"/>
    <m/>
    <m/>
    <m/>
  </r>
  <r>
    <x v="5"/>
    <n v="10"/>
    <x v="1"/>
    <x v="1"/>
    <x v="4"/>
    <n v="54"/>
    <n v="18"/>
    <n v="0.22902264000000003"/>
    <n v="0.41640480000000002"/>
    <n v="2.5489767780000001"/>
    <n v="4.6345032327272726"/>
    <n v="1.8181818181818181"/>
    <m/>
    <m/>
    <m/>
  </r>
  <r>
    <x v="5"/>
    <n v="1"/>
    <x v="0"/>
    <x v="0"/>
    <x v="2"/>
    <n v="25"/>
    <n v="16"/>
    <n v="4.9087499999999999E-2"/>
    <n v="8.9249999999999996E-2"/>
    <n v="0.29113317679999995"/>
    <n v="0.5293330487272726"/>
    <n v="1.8181818181818181"/>
    <m/>
    <m/>
    <m/>
  </r>
  <r>
    <x v="5"/>
    <n v="2"/>
    <x v="2"/>
    <x v="2"/>
    <x v="0"/>
    <n v="30"/>
    <n v="14"/>
    <n v="7.0685999999999999E-2"/>
    <n v="0.12852"/>
    <n v="0.3777740322"/>
    <n v="0.68686187672727272"/>
    <n v="1.8181818181818181"/>
    <m/>
    <m/>
    <m/>
  </r>
  <r>
    <x v="5"/>
    <n v="3"/>
    <x v="0"/>
    <x v="0"/>
    <x v="0"/>
    <n v="30"/>
    <n v="16"/>
    <n v="7.0685999999999999E-2"/>
    <n v="0.12852"/>
    <n v="0.41699605679999996"/>
    <n v="0.75817464872727258"/>
    <n v="1.8181818181818181"/>
    <m/>
    <m/>
    <m/>
  </r>
  <r>
    <x v="5"/>
    <n v="4"/>
    <x v="1"/>
    <x v="1"/>
    <x v="1"/>
    <n v="10"/>
    <n v="5"/>
    <n v="7.8540000000000016E-3"/>
    <n v="1.4280000000000001E-2"/>
    <n v="0.13158676599999999"/>
    <n v="0.23924866545454543"/>
    <n v="1.8181818181818181"/>
    <m/>
    <m/>
    <m/>
  </r>
  <r>
    <x v="5"/>
    <n v="5"/>
    <x v="3"/>
    <x v="3"/>
    <x v="1"/>
    <n v="12"/>
    <n v="9"/>
    <n v="1.130976E-2"/>
    <n v="2.05632E-2"/>
    <n v="0.16859997000000002"/>
    <n v="0.30654540000000002"/>
    <n v="1.8181818181818181"/>
    <m/>
    <m/>
    <m/>
  </r>
  <r>
    <x v="5"/>
    <n v="6"/>
    <x v="0"/>
    <x v="0"/>
    <x v="0"/>
    <n v="34"/>
    <n v="16"/>
    <n v="9.079224000000001E-2"/>
    <n v="0.1650768"/>
    <n v="0.53416295599999997"/>
    <n v="0.97120537454545441"/>
    <n v="1.8181818181818181"/>
    <m/>
    <m/>
    <m/>
  </r>
  <r>
    <x v="5"/>
    <n v="7"/>
    <x v="0"/>
    <x v="0"/>
    <x v="1"/>
    <n v="12"/>
    <n v="10"/>
    <n v="1.130976E-2"/>
    <n v="2.05632E-2"/>
    <n v="4.6272664800000002E-2"/>
    <n v="8.413211781818182E-2"/>
    <n v="1.8181818181818181"/>
    <m/>
    <m/>
    <m/>
  </r>
  <r>
    <x v="5"/>
    <n v="8"/>
    <x v="0"/>
    <x v="0"/>
    <x v="1"/>
    <n v="14"/>
    <n v="10"/>
    <n v="1.5393840000000002E-2"/>
    <n v="2.7988800000000001E-2"/>
    <n v="6.114736879999999E-2"/>
    <n v="0.11117703418181815"/>
    <n v="1.8181818181818181"/>
    <m/>
    <m/>
    <m/>
  </r>
  <r>
    <x v="5"/>
    <n v="9"/>
    <x v="0"/>
    <x v="0"/>
    <x v="0"/>
    <n v="30"/>
    <n v="11"/>
    <n v="7.0685999999999999E-2"/>
    <n v="0.12852"/>
    <n v="0.28827265679999997"/>
    <n v="0.52413210327272719"/>
    <n v="1.8181818181818181"/>
    <m/>
    <m/>
    <m/>
  </r>
  <r>
    <x v="6"/>
    <n v="1"/>
    <x v="0"/>
    <x v="0"/>
    <x v="3"/>
    <n v="43"/>
    <n v="16"/>
    <n v="0.14522046"/>
    <n v="0.26403719999999997"/>
    <n v="0.85133741359999993"/>
    <n v="1.5478862065454544"/>
    <n v="1.8181818181818181"/>
    <m/>
    <m/>
    <m/>
  </r>
  <r>
    <x v="6"/>
    <n v="2"/>
    <x v="0"/>
    <x v="0"/>
    <x v="3"/>
    <n v="45"/>
    <n v="16"/>
    <n v="0.1590435"/>
    <n v="0.28916999999999998"/>
    <n v="0.93188965679999991"/>
    <n v="1.6943448305454543"/>
    <n v="1.8181818181818181"/>
    <m/>
    <m/>
    <m/>
  </r>
  <r>
    <x v="6"/>
    <n v="3"/>
    <x v="0"/>
    <x v="0"/>
    <x v="1"/>
    <n v="17"/>
    <n v="12"/>
    <n v="2.2698060000000003E-2"/>
    <n v="4.1269199999999999E-2"/>
    <n v="0.1042840104"/>
    <n v="0.18960729163636361"/>
    <n v="1.8181818181818181"/>
    <m/>
    <m/>
    <m/>
  </r>
  <r>
    <x v="6"/>
    <n v="4"/>
    <x v="0"/>
    <x v="0"/>
    <x v="1"/>
    <n v="10"/>
    <n v="8"/>
    <n v="7.8540000000000016E-3"/>
    <n v="1.4280000000000001E-2"/>
    <n v="2.7965336799999997E-2"/>
    <n v="5.0846066909090902E-2"/>
    <n v="1.8181818181818181"/>
    <m/>
    <m/>
    <m/>
  </r>
  <r>
    <x v="6"/>
    <n v="5"/>
    <x v="0"/>
    <x v="0"/>
    <x v="1"/>
    <n v="11"/>
    <n v="5"/>
    <n v="9.503339999999999E-3"/>
    <n v="1.7278799999999997E-2"/>
    <n v="2.2387322799999998E-2"/>
    <n v="4.0704223272727269E-2"/>
    <n v="1.8181818181818181"/>
    <m/>
    <m/>
    <m/>
  </r>
  <r>
    <x v="6"/>
    <n v="6"/>
    <x v="0"/>
    <x v="0"/>
    <x v="4"/>
    <n v="51"/>
    <n v="18"/>
    <n v="0.20428253999999998"/>
    <n v="0.37142279999999994"/>
    <n v="1.3443194303999999"/>
    <n v="2.4442171461818178"/>
    <n v="1.8181818181818181"/>
    <m/>
    <m/>
    <m/>
  </r>
  <r>
    <x v="6"/>
    <n v="7"/>
    <x v="1"/>
    <x v="1"/>
    <x v="1"/>
    <n v="10"/>
    <n v="6"/>
    <n v="7.8540000000000016E-3"/>
    <n v="1.4280000000000001E-2"/>
    <n v="0.13623666600000001"/>
    <n v="0.24770302909090908"/>
    <n v="1.8181818181818181"/>
    <m/>
    <m/>
    <m/>
  </r>
  <r>
    <x v="6"/>
    <n v="8"/>
    <x v="1"/>
    <x v="1"/>
    <x v="1"/>
    <n v="12"/>
    <n v="6"/>
    <n v="1.130976E-2"/>
    <n v="2.05632E-2"/>
    <n v="0.14851240199999999"/>
    <n v="0.27002254909090906"/>
    <n v="1.8181818181818181"/>
    <m/>
    <m/>
    <m/>
  </r>
  <r>
    <x v="6"/>
    <n v="9"/>
    <x v="1"/>
    <x v="1"/>
    <x v="0"/>
    <n v="30"/>
    <n v="13"/>
    <n v="7.0685999999999999E-2"/>
    <n v="0.12852"/>
    <n v="0.65237556600000013"/>
    <n v="1.1861373927272729"/>
    <n v="1.8181818181818181"/>
    <m/>
    <m/>
    <m/>
  </r>
  <r>
    <x v="6"/>
    <n v="10"/>
    <x v="0"/>
    <x v="0"/>
    <x v="2"/>
    <n v="20"/>
    <n v="14"/>
    <n v="3.1416000000000006E-2"/>
    <n v="5.7120000000000004E-2"/>
    <n v="0.16527029679999999"/>
    <n v="0.30049144872727268"/>
    <n v="1.8181818181818181"/>
    <m/>
    <m/>
    <m/>
  </r>
  <r>
    <x v="7"/>
    <n v="1"/>
    <x v="2"/>
    <x v="2"/>
    <x v="0"/>
    <n v="36"/>
    <n v="18"/>
    <n v="0.10178783999999999"/>
    <n v="0.18506879999999998"/>
    <n v="0.6879569874"/>
    <n v="1.250830886181818"/>
    <n v="1.8181818181818181"/>
    <m/>
    <m/>
    <m/>
  </r>
  <r>
    <x v="7"/>
    <n v="2"/>
    <x v="0"/>
    <x v="0"/>
    <x v="1"/>
    <n v="19"/>
    <n v="17"/>
    <n v="2.835294E-2"/>
    <n v="5.1550799999999994E-2"/>
    <n v="0.18063128919999999"/>
    <n v="0.32842052581818176"/>
    <n v="1.8181818181818181"/>
    <m/>
    <m/>
    <m/>
  </r>
  <r>
    <x v="7"/>
    <n v="3"/>
    <x v="2"/>
    <x v="2"/>
    <x v="0"/>
    <n v="35"/>
    <n v="19"/>
    <n v="9.6211499999999991E-2"/>
    <n v="0.17492999999999997"/>
    <n v="0.68642457719999994"/>
    <n v="1.2480446858181815"/>
    <n v="1.8181818181818181"/>
    <m/>
    <m/>
    <m/>
  </r>
  <r>
    <x v="7"/>
    <n v="4"/>
    <x v="2"/>
    <x v="2"/>
    <x v="2"/>
    <n v="20"/>
    <n v="20"/>
    <n v="3.1416000000000006E-2"/>
    <n v="5.7120000000000004E-2"/>
    <n v="0.24477239219999999"/>
    <n v="0.44504071309090903"/>
    <n v="1.8181818181818181"/>
    <m/>
    <m/>
    <m/>
  </r>
  <r>
    <x v="7"/>
    <n v="5"/>
    <x v="2"/>
    <x v="2"/>
    <x v="0"/>
    <n v="36"/>
    <n v="22"/>
    <n v="0.10178783999999999"/>
    <n v="0.18506879999999998"/>
    <n v="0.83784405299999998"/>
    <n v="1.5233528236363634"/>
    <n v="1.8181818181818181"/>
    <m/>
    <m/>
    <m/>
  </r>
  <r>
    <x v="7"/>
    <n v="6"/>
    <x v="2"/>
    <x v="2"/>
    <x v="1"/>
    <n v="18"/>
    <n v="16"/>
    <n v="2.5446959999999998E-2"/>
    <n v="4.6267199999999994E-2"/>
    <n v="0.16335225780000001"/>
    <n v="0.29700410509090908"/>
    <n v="1.8181818181818181"/>
    <m/>
    <m/>
    <m/>
  </r>
  <r>
    <x v="8"/>
    <n v="1"/>
    <x v="0"/>
    <x v="0"/>
    <x v="3"/>
    <n v="43"/>
    <n v="18"/>
    <n v="0.14522046"/>
    <n v="0.26403719999999997"/>
    <n v="0.95711944319999998"/>
    <n v="1.7402171694545452"/>
    <n v="1.8181818181818181"/>
    <m/>
    <m/>
    <m/>
  </r>
  <r>
    <x v="8"/>
    <n v="2"/>
    <x v="3"/>
    <x v="3"/>
    <x v="1"/>
    <n v="19"/>
    <n v="12"/>
    <n v="2.835294E-2"/>
    <n v="5.1550799999999994E-2"/>
    <n v="0.309770934"/>
    <n v="0.5632198799999999"/>
    <n v="1.8181818181818181"/>
    <m/>
    <m/>
    <m/>
  </r>
  <r>
    <x v="8"/>
    <n v="3"/>
    <x v="3"/>
    <x v="3"/>
    <x v="1"/>
    <n v="11"/>
    <n v="7"/>
    <n v="9.503339999999999E-3"/>
    <n v="1.7278799999999997E-2"/>
    <n v="0.14772191900000001"/>
    <n v="0.26858530727272728"/>
    <n v="1.8181818181818181"/>
    <m/>
    <m/>
    <m/>
  </r>
  <r>
    <x v="8"/>
    <n v="4"/>
    <x v="2"/>
    <x v="2"/>
    <x v="2"/>
    <n v="28"/>
    <n v="17"/>
    <n v="6.157536000000001E-2"/>
    <n v="0.1119552"/>
    <n v="0.3988229874"/>
    <n v="0.7251327043636363"/>
    <n v="1.8181818181818181"/>
    <m/>
    <m/>
    <m/>
  </r>
  <r>
    <x v="8"/>
    <n v="5"/>
    <x v="2"/>
    <x v="2"/>
    <x v="2"/>
    <n v="26"/>
    <n v="17"/>
    <n v="5.3093040000000008E-2"/>
    <n v="9.6532800000000002E-2"/>
    <n v="0.34573798499999997"/>
    <n v="0.62861451818181813"/>
    <n v="1.8181818181818181"/>
    <m/>
    <m/>
    <m/>
  </r>
  <r>
    <x v="8"/>
    <n v="6"/>
    <x v="2"/>
    <x v="2"/>
    <x v="0"/>
    <n v="32"/>
    <n v="13"/>
    <n v="8.0424960000000004E-2"/>
    <n v="0.1462272"/>
    <n v="0.39836037299999999"/>
    <n v="0.72429158727272724"/>
    <n v="1.8181818181818181"/>
    <m/>
    <m/>
    <m/>
  </r>
  <r>
    <x v="8"/>
    <n v="7"/>
    <x v="2"/>
    <x v="2"/>
    <x v="0"/>
    <n v="31"/>
    <n v="17"/>
    <n v="7.5476940000000006E-2"/>
    <n v="0.13723080000000001"/>
    <n v="0.48582340799999996"/>
    <n v="0.88331528727272712"/>
    <n v="1.8181818181818181"/>
    <m/>
    <m/>
    <m/>
  </r>
  <r>
    <x v="8"/>
    <n v="8"/>
    <x v="2"/>
    <x v="2"/>
    <x v="2"/>
    <n v="29"/>
    <n v="18"/>
    <n v="6.6052139999999995E-2"/>
    <n v="0.12009479999999999"/>
    <n v="0.45115624139999999"/>
    <n v="0.82028407527272718"/>
    <n v="1.8181818181818181"/>
    <m/>
    <m/>
    <m/>
  </r>
  <r>
    <x v="8"/>
    <n v="9"/>
    <x v="2"/>
    <x v="2"/>
    <x v="0"/>
    <n v="34"/>
    <n v="18"/>
    <n v="9.079224000000001E-2"/>
    <n v="0.1650768"/>
    <n v="0.6150952194"/>
    <n v="1.1183549443636362"/>
    <n v="1.8181818181818181"/>
    <m/>
    <m/>
    <m/>
  </r>
  <r>
    <x v="8"/>
    <n v="10"/>
    <x v="0"/>
    <x v="0"/>
    <x v="1"/>
    <n v="14"/>
    <n v="8"/>
    <n v="1.5393840000000002E-2"/>
    <n v="2.7988800000000001E-2"/>
    <n v="4.9934130399999999E-2"/>
    <n v="9.0789327999999989E-2"/>
    <n v="1.8181818181818181"/>
    <m/>
    <m/>
    <m/>
  </r>
  <r>
    <x v="8"/>
    <n v="11"/>
    <x v="2"/>
    <x v="2"/>
    <x v="1"/>
    <n v="16"/>
    <n v="13"/>
    <n v="2.0106240000000001E-2"/>
    <n v="3.65568E-2"/>
    <n v="0.10968898740000001"/>
    <n v="0.19943452254545455"/>
    <n v="1.8181818181818181"/>
    <m/>
    <m/>
    <m/>
  </r>
  <r>
    <x v="8"/>
    <n v="12"/>
    <x v="1"/>
    <x v="1"/>
    <x v="2"/>
    <n v="21"/>
    <n v="10"/>
    <n v="3.4636139999999996E-2"/>
    <n v="6.2974799999999984E-2"/>
    <n v="0.31339785600000003"/>
    <n v="0.56981428363636366"/>
    <n v="1.8181818181818181"/>
    <m/>
    <m/>
    <m/>
  </r>
  <r>
    <x v="9"/>
    <n v="1"/>
    <x v="0"/>
    <x v="0"/>
    <x v="1"/>
    <n v="12"/>
    <n v="8"/>
    <n v="1.130976E-2"/>
    <n v="2.05632E-2"/>
    <n v="3.8034367200000002E-2"/>
    <n v="6.9153394909090907E-2"/>
    <n v="1.8181818181818181"/>
    <m/>
    <m/>
    <m/>
  </r>
  <r>
    <x v="9"/>
    <n v="2"/>
    <x v="2"/>
    <x v="2"/>
    <x v="3"/>
    <n v="43"/>
    <n v="17"/>
    <n v="0.14522046"/>
    <n v="0.26403719999999997"/>
    <n v="0.92230009439999994"/>
    <n v="1.6769092625454542"/>
    <n v="1.8181818181818181"/>
    <m/>
    <m/>
    <m/>
  </r>
  <r>
    <x v="9"/>
    <n v="3"/>
    <x v="1"/>
    <x v="1"/>
    <x v="1"/>
    <n v="19"/>
    <n v="12"/>
    <n v="2.835294E-2"/>
    <n v="5.1550799999999994E-2"/>
    <n v="0.309770934"/>
    <n v="0.5632198799999999"/>
    <n v="1.8181818181818181"/>
    <m/>
    <m/>
    <m/>
  </r>
  <r>
    <x v="9"/>
    <n v="4"/>
    <x v="0"/>
    <x v="0"/>
    <x v="2"/>
    <n v="20"/>
    <n v="13"/>
    <n v="3.1416000000000006E-2"/>
    <n v="5.7120000000000004E-2"/>
    <n v="0.1538282168"/>
    <n v="0.27968766690909092"/>
    <n v="1.8181818181818181"/>
    <m/>
    <m/>
    <m/>
  </r>
  <r>
    <x v="9"/>
    <n v="5"/>
    <x v="0"/>
    <x v="0"/>
    <x v="0"/>
    <n v="30"/>
    <n v="18"/>
    <n v="7.0685999999999999E-2"/>
    <n v="0.12852"/>
    <n v="0.46848541679999994"/>
    <n v="0.85179166690909069"/>
    <n v="1.8181818181818181"/>
    <m/>
    <m/>
    <m/>
  </r>
  <r>
    <x v="9"/>
    <n v="6"/>
    <x v="1"/>
    <x v="1"/>
    <x v="2"/>
    <n v="21"/>
    <n v="15"/>
    <n v="3.4636139999999996E-2"/>
    <n v="6.2974799999999984E-2"/>
    <n v="0.41592815100000002"/>
    <n v="0.75623300181818176"/>
    <n v="1.8181818181818181"/>
    <m/>
    <m/>
    <m/>
  </r>
  <r>
    <x v="9"/>
    <n v="7"/>
    <x v="3"/>
    <x v="3"/>
    <x v="1"/>
    <n v="15"/>
    <n v="10"/>
    <n v="1.76715E-2"/>
    <n v="3.2129999999999999E-2"/>
    <n v="0.212960016"/>
    <n v="0.38720002909090906"/>
    <n v="1.8181818181818181"/>
    <m/>
    <m/>
    <m/>
  </r>
  <r>
    <x v="9"/>
    <n v="8"/>
    <x v="0"/>
    <x v="0"/>
    <x v="1"/>
    <n v="19"/>
    <n v="12"/>
    <n v="2.835294E-2"/>
    <n v="5.1550799999999994E-2"/>
    <n v="0.12899890319999999"/>
    <n v="0.23454346036363632"/>
    <n v="1.8181818181818181"/>
    <m/>
    <m/>
    <m/>
  </r>
  <r>
    <x v="10"/>
    <n v="1"/>
    <x v="0"/>
    <x v="0"/>
    <x v="5"/>
    <n v="65"/>
    <n v="18"/>
    <n v="0.3318315"/>
    <n v="0.60332999999999992"/>
    <n v="2.1805066368000001"/>
    <n v="3.9645575214545454"/>
    <n v="1.8181818181818181"/>
    <m/>
    <m/>
    <m/>
  </r>
  <r>
    <x v="10"/>
    <n v="2"/>
    <x v="0"/>
    <x v="0"/>
    <x v="4"/>
    <n v="58"/>
    <n v="17"/>
    <n v="0.26420855999999998"/>
    <n v="0.48037919999999995"/>
    <n v="1.6409553544"/>
    <n v="2.9835551898181816"/>
    <n v="1.8181818181818181"/>
    <m/>
    <m/>
    <m/>
  </r>
  <r>
    <x v="10"/>
    <n v="3"/>
    <x v="1"/>
    <x v="1"/>
    <x v="2"/>
    <n v="23"/>
    <n v="13"/>
    <n v="4.154766E-2"/>
    <n v="7.5541199999999989E-2"/>
    <n v="0.42811088899999999"/>
    <n v="0.77838343454545444"/>
    <n v="1.8181818181818181"/>
    <m/>
    <m/>
    <m/>
  </r>
  <r>
    <x v="10"/>
    <n v="4"/>
    <x v="0"/>
    <x v="0"/>
    <x v="4"/>
    <n v="52"/>
    <n v="17"/>
    <n v="0.21237216000000003"/>
    <n v="0.38613120000000001"/>
    <n v="1.3200050104000001"/>
    <n v="2.4000091098181819"/>
    <n v="1.8181818181818181"/>
    <m/>
    <m/>
    <m/>
  </r>
  <r>
    <x v="10"/>
    <n v="5"/>
    <x v="0"/>
    <x v="0"/>
    <x v="1"/>
    <n v="17"/>
    <n v="10"/>
    <n v="2.2698060000000003E-2"/>
    <n v="4.1269199999999999E-2"/>
    <n v="8.7750204799999995E-2"/>
    <n v="0.15954582690909089"/>
    <n v="1.8181818181818181"/>
    <m/>
    <m/>
    <m/>
  </r>
  <r>
    <x v="10"/>
    <n v="6"/>
    <x v="0"/>
    <x v="0"/>
    <x v="2"/>
    <n v="25"/>
    <n v="12"/>
    <n v="4.9087499999999999E-2"/>
    <n v="8.9249999999999996E-2"/>
    <n v="0.21962017679999998"/>
    <n v="0.39930941236363632"/>
    <n v="1.818181818181818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12" firstHeaderRow="1" firstDataRow="1" firstDataCol="1"/>
  <pivotFields count="15">
    <pivotField showAll="0"/>
    <pivotField dataField="1" showAll="0"/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showAll="0" defaultSubtotal="0"/>
    <pivotField showAll="0" defaultSubtotal="0"/>
    <pivotField showAll="0" defaultSubtotal="0"/>
  </pivotFields>
  <rowFields count="2">
    <field x="3"/>
    <field x="2"/>
  </rowFields>
  <rowItems count="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t="grand">
      <x/>
    </i>
  </rowItems>
  <colItems count="1">
    <i/>
  </colItems>
  <dataFields count="1">
    <dataField name="Cuenta de No. Arbol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2" cacheId="1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F9" firstHeaderRow="1" firstDataRow="2" firstDataCol="1"/>
  <pivotFields count="15"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  <pivotField showAll="0" defaultSubtotal="0"/>
    <pivotField showAll="0" defaultSubtota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3">
    <format dxfId="4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9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3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3" cacheId="1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No. De Parcela">
  <location ref="A3:F16" firstHeaderRow="1" firstDataRow="2" firstDataCol="1"/>
  <pivotFields count="15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  <pivotField showAll="0" defaultSubtotal="0"/>
    <pivotField showAll="0" defaultSubtotal="0"/>
    <pivotField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21">
    <format dxfId="3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35">
      <pivotArea outline="0" collapsedLevelsAreSubtotals="1" fieldPosition="0"/>
    </format>
    <format dxfId="34">
      <pivotArea field="0" type="button" dataOnly="0" labelOnly="1" outline="0" axis="axisRow" fieldPosition="0"/>
    </format>
    <format dxfId="33">
      <pivotArea dataOnly="0" labelOnly="1" fieldPosition="0">
        <references count="1">
          <reference field="0" count="0"/>
        </references>
      </pivotArea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0">
      <pivotArea outline="0" collapsedLevelsAreSubtotals="1" fieldPosition="0"/>
    </format>
    <format dxfId="29">
      <pivotArea field="0" type="button" dataOnly="0" labelOnly="1" outline="0" axis="axisRow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dataOnly="0" labelOnly="1" grandRow="1" outline="0" fieldPosition="0"/>
    </format>
    <format dxfId="2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5">
      <pivotArea outline="0" collapsedLevelsAreSubtotals="1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0">
      <pivotArea field="0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4" cacheId="1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Especie y Clase Diametrica">
  <location ref="A3:F25" firstHeaderRow="1" firstDataRow="2" firstDataCol="1"/>
  <pivotFields count="15"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7">
        <item x="1"/>
        <item x="2"/>
        <item x="0"/>
        <item x="3"/>
        <item x="4"/>
        <item x="5"/>
        <item t="default"/>
      </items>
    </pivotField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  <pivotField showAll="0" defaultSubtotal="0"/>
    <pivotField showAll="0" defaultSubtotal="0"/>
    <pivotField showAll="0" defaultSubtotal="0"/>
  </pivotFields>
  <rowFields count="2">
    <field x="3"/>
    <field x="4"/>
  </rowFields>
  <rowItems count="21">
    <i>
      <x/>
    </i>
    <i r="1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17">
    <format dxfId="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14">
      <pivotArea field="3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">
      <pivotArea outline="0" collapsedLevelsAreSubtotals="1" fieldPosition="0"/>
    </format>
    <format dxfId="11">
      <pivotArea field="3" type="button" dataOnly="0" labelOnly="1" outline="0" axis="axisRow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7">
      <pivotArea field="3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outline="0" collapsedLevelsAreSubtotals="1" fieldPosition="0"/>
    </format>
    <format dxfId="0">
      <pivotArea field="3" grandRow="1" outline="0" collapsedLevelsAreSubtotals="1" axis="axisRow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8"/>
  <sheetViews>
    <sheetView zoomScale="78" zoomScaleNormal="78" workbookViewId="0">
      <selection activeCell="I6" sqref="I6"/>
    </sheetView>
  </sheetViews>
  <sheetFormatPr baseColWidth="10" defaultColWidth="11.42578125" defaultRowHeight="15" x14ac:dyDescent="0.25"/>
  <cols>
    <col min="1" max="1" width="9.140625" customWidth="1"/>
    <col min="2" max="2" width="9.5703125" customWidth="1"/>
    <col min="3" max="3" width="13" customWidth="1"/>
    <col min="4" max="4" width="24.140625" customWidth="1"/>
  </cols>
  <sheetData>
    <row r="1" spans="1:15" ht="24" x14ac:dyDescent="0.25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7" t="s">
        <v>10</v>
      </c>
      <c r="L1" s="57" t="s">
        <v>11</v>
      </c>
      <c r="M1" s="57" t="s">
        <v>69</v>
      </c>
      <c r="N1" s="66" t="s">
        <v>68</v>
      </c>
      <c r="O1" s="65">
        <v>500</v>
      </c>
    </row>
    <row r="2" spans="1:15" x14ac:dyDescent="0.25">
      <c r="A2" s="58">
        <v>1</v>
      </c>
      <c r="B2" s="58">
        <v>1</v>
      </c>
      <c r="C2" s="58" t="s">
        <v>59</v>
      </c>
      <c r="D2" s="58" t="s">
        <v>58</v>
      </c>
      <c r="E2" s="58" t="s">
        <v>64</v>
      </c>
      <c r="F2" s="58">
        <v>35</v>
      </c>
      <c r="G2" s="58">
        <v>19</v>
      </c>
      <c r="H2" s="59">
        <f t="shared" ref="H2:H65" si="0">0.7854*(F2/100)^2</f>
        <v>9.6211499999999991E-2</v>
      </c>
      <c r="I2" s="3">
        <f>H2*1/$O$3</f>
        <v>0.17492999999999997</v>
      </c>
      <c r="J2" s="59">
        <f>(0.0050811768+0.0000286052*(F2^2*G2))</f>
        <v>0.67086720679999989</v>
      </c>
      <c r="K2" s="3">
        <f>J2/$O$3</f>
        <v>1.2197585578181815</v>
      </c>
      <c r="L2" s="3">
        <f>1*1/$O$3</f>
        <v>1.8181818181818181</v>
      </c>
      <c r="M2" s="64">
        <v>11</v>
      </c>
      <c r="N2" s="60" t="s">
        <v>57</v>
      </c>
      <c r="O2" s="60" t="s">
        <v>56</v>
      </c>
    </row>
    <row r="3" spans="1:15" x14ac:dyDescent="0.25">
      <c r="A3" s="58">
        <v>1</v>
      </c>
      <c r="B3" s="58">
        <v>2</v>
      </c>
      <c r="C3" s="58" t="s">
        <v>59</v>
      </c>
      <c r="D3" s="58" t="s">
        <v>58</v>
      </c>
      <c r="E3" s="58" t="s">
        <v>52</v>
      </c>
      <c r="F3" s="58">
        <v>13</v>
      </c>
      <c r="G3" s="58">
        <v>15</v>
      </c>
      <c r="H3" s="59">
        <f t="shared" si="0"/>
        <v>1.3273260000000002E-2</v>
      </c>
      <c r="I3" s="3">
        <f t="shared" ref="I3:I66" si="1">H3*1/$O$3</f>
        <v>2.41332E-2</v>
      </c>
      <c r="J3" s="59">
        <f t="shared" ref="J3:J5" si="2">(0.0050811768+0.0000286052*(F3^2*G3))</f>
        <v>7.75953588E-2</v>
      </c>
      <c r="K3" s="3">
        <f t="shared" ref="K3:K66" si="3">J3/$O$3</f>
        <v>0.14108247054545453</v>
      </c>
      <c r="L3" s="3">
        <f t="shared" ref="L3:L66" si="4">1*1/$O$3</f>
        <v>1.8181818181818181</v>
      </c>
      <c r="M3" s="58"/>
      <c r="N3" s="61">
        <f>M2*O1</f>
        <v>5500</v>
      </c>
      <c r="O3" s="62">
        <f>N3/10000</f>
        <v>0.55000000000000004</v>
      </c>
    </row>
    <row r="4" spans="1:15" x14ac:dyDescent="0.25">
      <c r="A4" s="58">
        <v>1</v>
      </c>
      <c r="B4" s="58">
        <v>3</v>
      </c>
      <c r="C4" s="58" t="s">
        <v>59</v>
      </c>
      <c r="D4" s="58" t="s">
        <v>58</v>
      </c>
      <c r="E4" s="58" t="s">
        <v>64</v>
      </c>
      <c r="F4" s="58">
        <v>30.5</v>
      </c>
      <c r="G4" s="58">
        <v>18</v>
      </c>
      <c r="H4" s="59">
        <f t="shared" si="0"/>
        <v>7.3061834999999992E-2</v>
      </c>
      <c r="I4" s="3">
        <f t="shared" si="1"/>
        <v>0.13283969999999998</v>
      </c>
      <c r="J4" s="59">
        <f t="shared" si="2"/>
        <v>0.48406094819999995</v>
      </c>
      <c r="K4" s="3">
        <f t="shared" si="3"/>
        <v>0.88011081490909071</v>
      </c>
      <c r="L4" s="3">
        <f t="shared" si="4"/>
        <v>1.8181818181818181</v>
      </c>
      <c r="M4" s="58"/>
      <c r="N4" s="58"/>
      <c r="O4" s="58"/>
    </row>
    <row r="5" spans="1:15" x14ac:dyDescent="0.25">
      <c r="A5" s="58">
        <v>1</v>
      </c>
      <c r="B5" s="58">
        <v>4</v>
      </c>
      <c r="C5" s="58" t="s">
        <v>59</v>
      </c>
      <c r="D5" s="58" t="s">
        <v>58</v>
      </c>
      <c r="E5" s="58" t="s">
        <v>53</v>
      </c>
      <c r="F5" s="58">
        <v>26</v>
      </c>
      <c r="G5" s="58">
        <v>13</v>
      </c>
      <c r="H5" s="59">
        <f t="shared" si="0"/>
        <v>5.3093040000000008E-2</v>
      </c>
      <c r="I5" s="3">
        <f t="shared" si="1"/>
        <v>9.6532800000000002E-2</v>
      </c>
      <c r="J5" s="59">
        <f t="shared" si="2"/>
        <v>0.25646367439999995</v>
      </c>
      <c r="K5" s="3">
        <f t="shared" si="3"/>
        <v>0.4662975898181817</v>
      </c>
      <c r="L5" s="3">
        <f t="shared" si="4"/>
        <v>1.8181818181818181</v>
      </c>
      <c r="M5" s="58"/>
      <c r="N5" s="58"/>
      <c r="O5" s="58"/>
    </row>
    <row r="6" spans="1:15" x14ac:dyDescent="0.25">
      <c r="A6" s="58">
        <v>1</v>
      </c>
      <c r="B6" s="58">
        <v>5</v>
      </c>
      <c r="C6" s="58" t="s">
        <v>60</v>
      </c>
      <c r="D6" s="73" t="s">
        <v>71</v>
      </c>
      <c r="E6" s="58" t="s">
        <v>52</v>
      </c>
      <c r="F6" s="58">
        <v>13</v>
      </c>
      <c r="G6" s="58">
        <v>12</v>
      </c>
      <c r="H6" s="59">
        <f t="shared" si="0"/>
        <v>1.3273260000000002E-2</v>
      </c>
      <c r="I6" s="3">
        <f t="shared" si="1"/>
        <v>2.41332E-2</v>
      </c>
      <c r="J6" s="59">
        <f>(0.108337266+0.000046499*(F6^2*G6))</f>
        <v>0.202637238</v>
      </c>
      <c r="K6" s="3">
        <f t="shared" si="3"/>
        <v>0.36843134181818177</v>
      </c>
      <c r="L6" s="3">
        <f t="shared" si="4"/>
        <v>1.8181818181818181</v>
      </c>
      <c r="M6" s="58"/>
      <c r="N6" s="58"/>
      <c r="O6" s="58"/>
    </row>
    <row r="7" spans="1:15" x14ac:dyDescent="0.25">
      <c r="A7" s="58">
        <v>1</v>
      </c>
      <c r="B7" s="58">
        <v>6</v>
      </c>
      <c r="C7" s="58" t="s">
        <v>59</v>
      </c>
      <c r="D7" s="58" t="s">
        <v>58</v>
      </c>
      <c r="E7" s="58" t="s">
        <v>52</v>
      </c>
      <c r="F7" s="58">
        <v>17</v>
      </c>
      <c r="G7" s="58">
        <v>15</v>
      </c>
      <c r="H7" s="59">
        <f t="shared" si="0"/>
        <v>2.2698060000000003E-2</v>
      </c>
      <c r="I7" s="3">
        <f t="shared" si="1"/>
        <v>4.1269199999999999E-2</v>
      </c>
      <c r="J7" s="59">
        <f t="shared" ref="J7:J15" si="5">(0.0050811768+0.0000286052*(F7^2*G7))</f>
        <v>0.1290847188</v>
      </c>
      <c r="K7" s="3">
        <f t="shared" si="3"/>
        <v>0.2346994887272727</v>
      </c>
      <c r="L7" s="3">
        <f t="shared" si="4"/>
        <v>1.8181818181818181</v>
      </c>
      <c r="M7" s="58"/>
      <c r="N7" s="58"/>
      <c r="O7" s="58"/>
    </row>
    <row r="8" spans="1:15" x14ac:dyDescent="0.25">
      <c r="A8" s="58">
        <v>1</v>
      </c>
      <c r="B8" s="58">
        <v>7</v>
      </c>
      <c r="C8" s="58" t="s">
        <v>59</v>
      </c>
      <c r="D8" s="58" t="s">
        <v>58</v>
      </c>
      <c r="E8" s="58" t="s">
        <v>53</v>
      </c>
      <c r="F8" s="58">
        <v>20</v>
      </c>
      <c r="G8" s="58">
        <v>14</v>
      </c>
      <c r="H8" s="59">
        <f t="shared" si="0"/>
        <v>3.1416000000000006E-2</v>
      </c>
      <c r="I8" s="3">
        <f t="shared" si="1"/>
        <v>5.7120000000000004E-2</v>
      </c>
      <c r="J8" s="59">
        <f t="shared" si="5"/>
        <v>0.16527029679999999</v>
      </c>
      <c r="K8" s="3">
        <f t="shared" si="3"/>
        <v>0.30049144872727268</v>
      </c>
      <c r="L8" s="3">
        <f t="shared" si="4"/>
        <v>1.8181818181818181</v>
      </c>
      <c r="M8" s="58"/>
      <c r="N8" s="58"/>
      <c r="O8" s="58"/>
    </row>
    <row r="9" spans="1:15" x14ac:dyDescent="0.25">
      <c r="A9" s="58">
        <v>1</v>
      </c>
      <c r="B9" s="58">
        <v>8</v>
      </c>
      <c r="C9" s="58" t="s">
        <v>59</v>
      </c>
      <c r="D9" s="58" t="s">
        <v>58</v>
      </c>
      <c r="E9" s="58" t="s">
        <v>65</v>
      </c>
      <c r="F9" s="58">
        <v>40</v>
      </c>
      <c r="G9" s="58">
        <v>19</v>
      </c>
      <c r="H9" s="59">
        <f t="shared" si="0"/>
        <v>0.12566400000000003</v>
      </c>
      <c r="I9" s="3">
        <f t="shared" si="1"/>
        <v>0.22848000000000002</v>
      </c>
      <c r="J9" s="59">
        <f t="shared" si="5"/>
        <v>0.87467925679999992</v>
      </c>
      <c r="K9" s="3">
        <f t="shared" si="3"/>
        <v>1.5903259214545451</v>
      </c>
      <c r="L9" s="3">
        <f t="shared" si="4"/>
        <v>1.8181818181818181</v>
      </c>
      <c r="M9" s="58"/>
      <c r="N9" s="58"/>
      <c r="O9" s="58"/>
    </row>
    <row r="10" spans="1:15" x14ac:dyDescent="0.25">
      <c r="A10" s="58">
        <v>2</v>
      </c>
      <c r="B10" s="58">
        <v>1</v>
      </c>
      <c r="C10" s="58" t="s">
        <v>59</v>
      </c>
      <c r="D10" s="58" t="s">
        <v>58</v>
      </c>
      <c r="E10" s="58" t="s">
        <v>64</v>
      </c>
      <c r="F10" s="58">
        <v>39</v>
      </c>
      <c r="G10" s="58">
        <v>20</v>
      </c>
      <c r="H10" s="59">
        <f t="shared" si="0"/>
        <v>0.11945934000000001</v>
      </c>
      <c r="I10" s="3">
        <f t="shared" si="1"/>
        <v>0.2171988</v>
      </c>
      <c r="J10" s="59">
        <f t="shared" si="5"/>
        <v>0.87525136079999988</v>
      </c>
      <c r="K10" s="3">
        <f t="shared" si="3"/>
        <v>1.5913661105454542</v>
      </c>
      <c r="L10" s="3">
        <f t="shared" si="4"/>
        <v>1.8181818181818181</v>
      </c>
      <c r="M10" s="58"/>
      <c r="N10" s="58"/>
      <c r="O10" s="58"/>
    </row>
    <row r="11" spans="1:15" x14ac:dyDescent="0.25">
      <c r="A11" s="58">
        <v>2</v>
      </c>
      <c r="B11" s="58">
        <v>2</v>
      </c>
      <c r="C11" s="58" t="s">
        <v>59</v>
      </c>
      <c r="D11" s="58" t="s">
        <v>58</v>
      </c>
      <c r="E11" s="58" t="s">
        <v>64</v>
      </c>
      <c r="F11" s="58">
        <v>33</v>
      </c>
      <c r="G11" s="58">
        <v>18</v>
      </c>
      <c r="H11" s="59">
        <f t="shared" si="0"/>
        <v>8.5530060000000005E-2</v>
      </c>
      <c r="I11" s="3">
        <f t="shared" si="1"/>
        <v>0.15550919999999999</v>
      </c>
      <c r="J11" s="59">
        <f t="shared" si="5"/>
        <v>0.56580030719999996</v>
      </c>
      <c r="K11" s="3">
        <f t="shared" si="3"/>
        <v>1.028727831272727</v>
      </c>
      <c r="L11" s="3">
        <f t="shared" si="4"/>
        <v>1.8181818181818181</v>
      </c>
      <c r="M11" s="58"/>
      <c r="N11" s="58"/>
      <c r="O11" s="58"/>
    </row>
    <row r="12" spans="1:15" x14ac:dyDescent="0.25">
      <c r="A12" s="58">
        <v>2</v>
      </c>
      <c r="B12" s="58">
        <v>3</v>
      </c>
      <c r="C12" s="58" t="s">
        <v>59</v>
      </c>
      <c r="D12" s="58" t="s">
        <v>58</v>
      </c>
      <c r="E12" s="58" t="s">
        <v>52</v>
      </c>
      <c r="F12" s="58">
        <v>18</v>
      </c>
      <c r="G12" s="58">
        <v>16</v>
      </c>
      <c r="H12" s="59">
        <f t="shared" si="0"/>
        <v>2.5446959999999998E-2</v>
      </c>
      <c r="I12" s="3">
        <f t="shared" si="1"/>
        <v>4.6267199999999994E-2</v>
      </c>
      <c r="J12" s="59">
        <f t="shared" si="5"/>
        <v>0.1533705336</v>
      </c>
      <c r="K12" s="3">
        <f t="shared" si="3"/>
        <v>0.27885551563636363</v>
      </c>
      <c r="L12" s="3">
        <f t="shared" si="4"/>
        <v>1.8181818181818181</v>
      </c>
      <c r="M12" s="58"/>
      <c r="N12" s="58"/>
      <c r="O12" s="58"/>
    </row>
    <row r="13" spans="1:15" x14ac:dyDescent="0.25">
      <c r="A13" s="58">
        <v>2</v>
      </c>
      <c r="B13" s="58">
        <v>4</v>
      </c>
      <c r="C13" s="58" t="s">
        <v>59</v>
      </c>
      <c r="D13" s="58" t="s">
        <v>58</v>
      </c>
      <c r="E13" s="58" t="s">
        <v>52</v>
      </c>
      <c r="F13" s="58">
        <v>16</v>
      </c>
      <c r="G13" s="58">
        <v>12</v>
      </c>
      <c r="H13" s="59">
        <f t="shared" si="0"/>
        <v>2.0106240000000001E-2</v>
      </c>
      <c r="I13" s="3">
        <f t="shared" si="1"/>
        <v>3.65568E-2</v>
      </c>
      <c r="J13" s="59">
        <f t="shared" si="5"/>
        <v>9.2956351199999995E-2</v>
      </c>
      <c r="K13" s="3">
        <f t="shared" si="3"/>
        <v>0.16901154763636361</v>
      </c>
      <c r="L13" s="3">
        <f t="shared" si="4"/>
        <v>1.8181818181818181</v>
      </c>
      <c r="M13" s="58"/>
      <c r="N13" s="58"/>
      <c r="O13" s="58"/>
    </row>
    <row r="14" spans="1:15" x14ac:dyDescent="0.25">
      <c r="A14" s="58">
        <v>2</v>
      </c>
      <c r="B14" s="58">
        <v>5</v>
      </c>
      <c r="C14" s="58" t="s">
        <v>59</v>
      </c>
      <c r="D14" s="58" t="s">
        <v>58</v>
      </c>
      <c r="E14" s="58" t="s">
        <v>64</v>
      </c>
      <c r="F14" s="58">
        <v>32</v>
      </c>
      <c r="G14" s="58">
        <v>14</v>
      </c>
      <c r="H14" s="59">
        <f t="shared" si="0"/>
        <v>8.0424960000000004E-2</v>
      </c>
      <c r="I14" s="3">
        <f t="shared" si="1"/>
        <v>0.1462272</v>
      </c>
      <c r="J14" s="59">
        <f t="shared" si="5"/>
        <v>0.41516532399999995</v>
      </c>
      <c r="K14" s="3">
        <f t="shared" si="3"/>
        <v>0.75484604363636343</v>
      </c>
      <c r="L14" s="3">
        <f t="shared" si="4"/>
        <v>1.8181818181818181</v>
      </c>
      <c r="M14" s="58"/>
      <c r="N14" s="58"/>
      <c r="O14" s="58"/>
    </row>
    <row r="15" spans="1:15" x14ac:dyDescent="0.25">
      <c r="A15" s="58">
        <v>2</v>
      </c>
      <c r="B15" s="58">
        <v>6</v>
      </c>
      <c r="C15" s="58" t="s">
        <v>59</v>
      </c>
      <c r="D15" s="58" t="s">
        <v>58</v>
      </c>
      <c r="E15" s="58" t="s">
        <v>53</v>
      </c>
      <c r="F15" s="58">
        <v>22</v>
      </c>
      <c r="G15" s="58">
        <v>12</v>
      </c>
      <c r="H15" s="59">
        <f t="shared" si="0"/>
        <v>3.8013359999999996E-2</v>
      </c>
      <c r="I15" s="3">
        <f t="shared" si="1"/>
        <v>6.9115199999999988E-2</v>
      </c>
      <c r="J15" s="59">
        <f t="shared" si="5"/>
        <v>0.17122017840000001</v>
      </c>
      <c r="K15" s="3">
        <f t="shared" si="3"/>
        <v>0.31130941527272726</v>
      </c>
      <c r="L15" s="3">
        <f t="shared" si="4"/>
        <v>1.8181818181818181</v>
      </c>
      <c r="M15" s="58"/>
      <c r="N15" s="58"/>
      <c r="O15" s="58"/>
    </row>
    <row r="16" spans="1:15" x14ac:dyDescent="0.25">
      <c r="A16" s="58">
        <v>2</v>
      </c>
      <c r="B16" s="58">
        <v>7</v>
      </c>
      <c r="C16" s="58" t="s">
        <v>60</v>
      </c>
      <c r="D16" s="73" t="s">
        <v>71</v>
      </c>
      <c r="E16" s="58" t="s">
        <v>52</v>
      </c>
      <c r="F16" s="58">
        <v>13</v>
      </c>
      <c r="G16" s="58">
        <v>9</v>
      </c>
      <c r="H16" s="59">
        <f t="shared" si="0"/>
        <v>1.3273260000000002E-2</v>
      </c>
      <c r="I16" s="3">
        <f t="shared" si="1"/>
        <v>2.41332E-2</v>
      </c>
      <c r="J16" s="59">
        <f t="shared" ref="J16:J19" si="6">(0.108337266+0.000046499*(F16^2*G16))</f>
        <v>0.17906224500000001</v>
      </c>
      <c r="K16" s="3">
        <f t="shared" si="3"/>
        <v>0.32556771818181818</v>
      </c>
      <c r="L16" s="3">
        <f t="shared" si="4"/>
        <v>1.8181818181818181</v>
      </c>
      <c r="M16" s="58"/>
      <c r="N16" s="58"/>
      <c r="O16" s="58"/>
    </row>
    <row r="17" spans="1:15" x14ac:dyDescent="0.25">
      <c r="A17" s="58">
        <v>2</v>
      </c>
      <c r="B17" s="58">
        <v>8</v>
      </c>
      <c r="C17" s="58" t="s">
        <v>60</v>
      </c>
      <c r="D17" s="73" t="s">
        <v>71</v>
      </c>
      <c r="E17" s="58" t="s">
        <v>52</v>
      </c>
      <c r="F17" s="58">
        <v>12</v>
      </c>
      <c r="G17" s="58">
        <v>5</v>
      </c>
      <c r="H17" s="59">
        <f t="shared" si="0"/>
        <v>1.130976E-2</v>
      </c>
      <c r="I17" s="3">
        <f t="shared" si="1"/>
        <v>2.05632E-2</v>
      </c>
      <c r="J17" s="59">
        <f t="shared" si="6"/>
        <v>0.14181654599999999</v>
      </c>
      <c r="K17" s="3">
        <f t="shared" si="3"/>
        <v>0.25784826545454542</v>
      </c>
      <c r="L17" s="3">
        <f t="shared" si="4"/>
        <v>1.8181818181818181</v>
      </c>
      <c r="M17" s="58"/>
      <c r="N17" s="58"/>
      <c r="O17" s="58"/>
    </row>
    <row r="18" spans="1:15" x14ac:dyDescent="0.25">
      <c r="A18" s="58">
        <v>2</v>
      </c>
      <c r="B18" s="58">
        <v>9</v>
      </c>
      <c r="C18" s="58" t="s">
        <v>60</v>
      </c>
      <c r="D18" s="73" t="s">
        <v>71</v>
      </c>
      <c r="E18" s="58" t="s">
        <v>52</v>
      </c>
      <c r="F18" s="58">
        <v>12</v>
      </c>
      <c r="G18" s="58">
        <v>7</v>
      </c>
      <c r="H18" s="59">
        <f t="shared" si="0"/>
        <v>1.130976E-2</v>
      </c>
      <c r="I18" s="3">
        <f t="shared" si="1"/>
        <v>2.05632E-2</v>
      </c>
      <c r="J18" s="59">
        <f t="shared" si="6"/>
        <v>0.15520825799999999</v>
      </c>
      <c r="K18" s="3">
        <f t="shared" si="3"/>
        <v>0.2821968327272727</v>
      </c>
      <c r="L18" s="3">
        <f t="shared" si="4"/>
        <v>1.8181818181818181</v>
      </c>
      <c r="M18" s="58"/>
      <c r="N18" s="58"/>
      <c r="O18" s="58"/>
    </row>
    <row r="19" spans="1:15" x14ac:dyDescent="0.25">
      <c r="A19" s="58">
        <v>2</v>
      </c>
      <c r="B19" s="58">
        <v>10</v>
      </c>
      <c r="C19" s="58" t="s">
        <v>60</v>
      </c>
      <c r="D19" s="73" t="s">
        <v>71</v>
      </c>
      <c r="E19" s="58" t="s">
        <v>52</v>
      </c>
      <c r="F19" s="58">
        <v>14</v>
      </c>
      <c r="G19" s="58">
        <v>5</v>
      </c>
      <c r="H19" s="59">
        <f t="shared" si="0"/>
        <v>1.5393840000000002E-2</v>
      </c>
      <c r="I19" s="3">
        <f t="shared" si="1"/>
        <v>2.7988800000000001E-2</v>
      </c>
      <c r="J19" s="59">
        <f t="shared" si="6"/>
        <v>0.153906286</v>
      </c>
      <c r="K19" s="3">
        <f t="shared" si="3"/>
        <v>0.27982961090909092</v>
      </c>
      <c r="L19" s="3">
        <f t="shared" si="4"/>
        <v>1.8181818181818181</v>
      </c>
      <c r="M19" s="58"/>
      <c r="N19" s="58"/>
      <c r="O19" s="58"/>
    </row>
    <row r="20" spans="1:15" x14ac:dyDescent="0.25">
      <c r="A20" s="58">
        <v>2</v>
      </c>
      <c r="B20" s="58">
        <v>11</v>
      </c>
      <c r="C20" s="58" t="s">
        <v>59</v>
      </c>
      <c r="D20" s="58" t="s">
        <v>58</v>
      </c>
      <c r="E20" s="58" t="s">
        <v>52</v>
      </c>
      <c r="F20" s="58">
        <v>13</v>
      </c>
      <c r="G20" s="58">
        <v>7</v>
      </c>
      <c r="H20" s="59">
        <f t="shared" si="0"/>
        <v>1.3273260000000002E-2</v>
      </c>
      <c r="I20" s="3">
        <f t="shared" si="1"/>
        <v>2.41332E-2</v>
      </c>
      <c r="J20" s="59">
        <f>(0.0050811768+0.0000286052*(F20^2*G20))</f>
        <v>3.8921128400000005E-2</v>
      </c>
      <c r="K20" s="3">
        <f t="shared" si="3"/>
        <v>7.0765688000000007E-2</v>
      </c>
      <c r="L20" s="3">
        <f t="shared" si="4"/>
        <v>1.8181818181818181</v>
      </c>
      <c r="M20" s="58"/>
      <c r="N20" s="58"/>
      <c r="O20" s="58"/>
    </row>
    <row r="21" spans="1:15" x14ac:dyDescent="0.25">
      <c r="A21" s="58">
        <v>2</v>
      </c>
      <c r="B21" s="58">
        <v>12</v>
      </c>
      <c r="C21" s="58" t="s">
        <v>60</v>
      </c>
      <c r="D21" s="73" t="s">
        <v>71</v>
      </c>
      <c r="E21" s="58" t="s">
        <v>52</v>
      </c>
      <c r="F21" s="58">
        <v>13</v>
      </c>
      <c r="G21" s="58">
        <v>7</v>
      </c>
      <c r="H21" s="59">
        <f t="shared" si="0"/>
        <v>1.3273260000000002E-2</v>
      </c>
      <c r="I21" s="3">
        <f t="shared" si="1"/>
        <v>2.41332E-2</v>
      </c>
      <c r="J21" s="59">
        <f>(0.108337266+0.000046499*(F21^2*G21))</f>
        <v>0.16334558300000002</v>
      </c>
      <c r="K21" s="3">
        <f t="shared" si="3"/>
        <v>0.29699196909090908</v>
      </c>
      <c r="L21" s="3">
        <f t="shared" si="4"/>
        <v>1.8181818181818181</v>
      </c>
      <c r="M21" s="58"/>
      <c r="N21" s="58"/>
      <c r="O21" s="58"/>
    </row>
    <row r="22" spans="1:15" x14ac:dyDescent="0.25">
      <c r="A22" s="58">
        <v>2</v>
      </c>
      <c r="B22" s="58">
        <v>13</v>
      </c>
      <c r="C22" s="58" t="s">
        <v>59</v>
      </c>
      <c r="D22" s="58" t="s">
        <v>58</v>
      </c>
      <c r="E22" s="58" t="s">
        <v>52</v>
      </c>
      <c r="F22" s="58">
        <v>17</v>
      </c>
      <c r="G22" s="58">
        <v>12</v>
      </c>
      <c r="H22" s="59">
        <f t="shared" si="0"/>
        <v>2.2698060000000003E-2</v>
      </c>
      <c r="I22" s="3">
        <f t="shared" si="1"/>
        <v>4.1269199999999999E-2</v>
      </c>
      <c r="J22" s="59">
        <f t="shared" ref="J22:J36" si="7">(0.0050811768+0.0000286052*(F22^2*G22))</f>
        <v>0.1042840104</v>
      </c>
      <c r="K22" s="3">
        <f t="shared" si="3"/>
        <v>0.18960729163636361</v>
      </c>
      <c r="L22" s="3">
        <f t="shared" si="4"/>
        <v>1.8181818181818181</v>
      </c>
      <c r="M22" s="58"/>
      <c r="N22" s="58"/>
      <c r="O22" s="58"/>
    </row>
    <row r="23" spans="1:15" x14ac:dyDescent="0.25">
      <c r="A23" s="58">
        <v>3</v>
      </c>
      <c r="B23" s="58">
        <v>1</v>
      </c>
      <c r="C23" s="58" t="s">
        <v>59</v>
      </c>
      <c r="D23" s="58" t="s">
        <v>58</v>
      </c>
      <c r="E23" s="58" t="s">
        <v>66</v>
      </c>
      <c r="F23" s="58">
        <v>51</v>
      </c>
      <c r="G23" s="58">
        <v>18</v>
      </c>
      <c r="H23" s="59">
        <f t="shared" si="0"/>
        <v>0.20428253999999998</v>
      </c>
      <c r="I23" s="3">
        <f t="shared" si="1"/>
        <v>0.37142279999999994</v>
      </c>
      <c r="J23" s="59">
        <f t="shared" si="7"/>
        <v>1.3443194303999999</v>
      </c>
      <c r="K23" s="3">
        <f t="shared" si="3"/>
        <v>2.4442171461818178</v>
      </c>
      <c r="L23" s="3">
        <f t="shared" si="4"/>
        <v>1.8181818181818181</v>
      </c>
      <c r="M23" s="58"/>
      <c r="N23" s="58"/>
      <c r="O23" s="58"/>
    </row>
    <row r="24" spans="1:15" x14ac:dyDescent="0.25">
      <c r="A24" s="58">
        <v>3</v>
      </c>
      <c r="B24" s="58">
        <v>2</v>
      </c>
      <c r="C24" s="58" t="s">
        <v>59</v>
      </c>
      <c r="D24" s="58" t="s">
        <v>58</v>
      </c>
      <c r="E24" s="58" t="s">
        <v>65</v>
      </c>
      <c r="F24" s="58">
        <v>41</v>
      </c>
      <c r="G24" s="58">
        <v>17</v>
      </c>
      <c r="H24" s="59">
        <f t="shared" si="0"/>
        <v>0.13202573999999997</v>
      </c>
      <c r="I24" s="3">
        <f t="shared" si="1"/>
        <v>0.24004679999999992</v>
      </c>
      <c r="J24" s="59">
        <f t="shared" si="7"/>
        <v>0.82253197719999993</v>
      </c>
      <c r="K24" s="3">
        <f t="shared" si="3"/>
        <v>1.4955126858181815</v>
      </c>
      <c r="L24" s="3">
        <f t="shared" si="4"/>
        <v>1.8181818181818181</v>
      </c>
      <c r="M24" s="58"/>
      <c r="N24" s="58"/>
      <c r="O24" s="58"/>
    </row>
    <row r="25" spans="1:15" x14ac:dyDescent="0.25">
      <c r="A25" s="58">
        <v>3</v>
      </c>
      <c r="B25" s="58">
        <v>3</v>
      </c>
      <c r="C25" s="58" t="s">
        <v>59</v>
      </c>
      <c r="D25" s="58" t="s">
        <v>58</v>
      </c>
      <c r="E25" s="58" t="s">
        <v>53</v>
      </c>
      <c r="F25" s="58">
        <v>20</v>
      </c>
      <c r="G25" s="58">
        <v>12</v>
      </c>
      <c r="H25" s="59">
        <f t="shared" si="0"/>
        <v>3.1416000000000006E-2</v>
      </c>
      <c r="I25" s="3">
        <f t="shared" si="1"/>
        <v>5.7120000000000004E-2</v>
      </c>
      <c r="J25" s="59">
        <f t="shared" si="7"/>
        <v>0.14238613680000001</v>
      </c>
      <c r="K25" s="3">
        <f t="shared" si="3"/>
        <v>0.25888388509090909</v>
      </c>
      <c r="L25" s="3">
        <f t="shared" si="4"/>
        <v>1.8181818181818181</v>
      </c>
      <c r="M25" s="58"/>
      <c r="N25" s="58"/>
      <c r="O25" s="58"/>
    </row>
    <row r="26" spans="1:15" x14ac:dyDescent="0.25">
      <c r="A26" s="58">
        <v>3</v>
      </c>
      <c r="B26" s="58">
        <v>4</v>
      </c>
      <c r="C26" s="58" t="s">
        <v>59</v>
      </c>
      <c r="D26" s="58" t="s">
        <v>58</v>
      </c>
      <c r="E26" s="58" t="s">
        <v>65</v>
      </c>
      <c r="F26" s="58">
        <v>42</v>
      </c>
      <c r="G26" s="58">
        <v>15</v>
      </c>
      <c r="H26" s="59">
        <f t="shared" si="0"/>
        <v>0.13854455999999998</v>
      </c>
      <c r="I26" s="3">
        <f t="shared" si="1"/>
        <v>0.25189919999999993</v>
      </c>
      <c r="J26" s="59">
        <f t="shared" si="7"/>
        <v>0.76197476879999992</v>
      </c>
      <c r="K26" s="3">
        <f t="shared" si="3"/>
        <v>1.3854086705454542</v>
      </c>
      <c r="L26" s="3">
        <f t="shared" si="4"/>
        <v>1.8181818181818181</v>
      </c>
      <c r="M26" s="58"/>
      <c r="N26" s="58"/>
      <c r="O26" s="58"/>
    </row>
    <row r="27" spans="1:15" x14ac:dyDescent="0.25">
      <c r="A27" s="58">
        <v>3</v>
      </c>
      <c r="B27" s="58">
        <v>5</v>
      </c>
      <c r="C27" s="58" t="s">
        <v>59</v>
      </c>
      <c r="D27" s="58" t="s">
        <v>58</v>
      </c>
      <c r="E27" s="58" t="s">
        <v>64</v>
      </c>
      <c r="F27" s="58">
        <v>31</v>
      </c>
      <c r="G27" s="58">
        <v>18</v>
      </c>
      <c r="H27" s="59">
        <f t="shared" si="0"/>
        <v>7.5476940000000006E-2</v>
      </c>
      <c r="I27" s="3">
        <f t="shared" si="1"/>
        <v>0.13723080000000001</v>
      </c>
      <c r="J27" s="59">
        <f t="shared" si="7"/>
        <v>0.49989392639999997</v>
      </c>
      <c r="K27" s="3">
        <f t="shared" si="3"/>
        <v>0.90889804799999985</v>
      </c>
      <c r="L27" s="3">
        <f t="shared" si="4"/>
        <v>1.8181818181818181</v>
      </c>
      <c r="M27" s="58"/>
      <c r="N27" s="58"/>
      <c r="O27" s="58"/>
    </row>
    <row r="28" spans="1:15" x14ac:dyDescent="0.25">
      <c r="A28" s="58">
        <v>3</v>
      </c>
      <c r="B28" s="58">
        <v>6</v>
      </c>
      <c r="C28" s="58" t="s">
        <v>59</v>
      </c>
      <c r="D28" s="58" t="s">
        <v>58</v>
      </c>
      <c r="E28" s="58" t="s">
        <v>64</v>
      </c>
      <c r="F28" s="58">
        <v>30</v>
      </c>
      <c r="G28" s="58">
        <v>14</v>
      </c>
      <c r="H28" s="59">
        <f t="shared" si="0"/>
        <v>7.0685999999999999E-2</v>
      </c>
      <c r="I28" s="3">
        <f t="shared" si="1"/>
        <v>0.12852</v>
      </c>
      <c r="J28" s="59">
        <f t="shared" si="7"/>
        <v>0.36550669679999997</v>
      </c>
      <c r="K28" s="3">
        <f t="shared" si="3"/>
        <v>0.66455763054545447</v>
      </c>
      <c r="L28" s="3">
        <f t="shared" si="4"/>
        <v>1.8181818181818181</v>
      </c>
      <c r="M28" s="58"/>
      <c r="N28" s="58"/>
      <c r="O28" s="58"/>
    </row>
    <row r="29" spans="1:15" x14ac:dyDescent="0.25">
      <c r="A29" s="58">
        <v>3</v>
      </c>
      <c r="B29" s="58">
        <v>7</v>
      </c>
      <c r="C29" s="58" t="s">
        <v>59</v>
      </c>
      <c r="D29" s="58" t="s">
        <v>58</v>
      </c>
      <c r="E29" s="58" t="s">
        <v>65</v>
      </c>
      <c r="F29" s="58">
        <v>40</v>
      </c>
      <c r="G29" s="58">
        <v>15</v>
      </c>
      <c r="H29" s="59">
        <f t="shared" si="0"/>
        <v>0.12566400000000003</v>
      </c>
      <c r="I29" s="3">
        <f t="shared" si="1"/>
        <v>0.22848000000000002</v>
      </c>
      <c r="J29" s="59">
        <f t="shared" si="7"/>
        <v>0.69160597679999991</v>
      </c>
      <c r="K29" s="3">
        <f t="shared" si="3"/>
        <v>1.2574654123636362</v>
      </c>
      <c r="L29" s="3">
        <f t="shared" si="4"/>
        <v>1.8181818181818181</v>
      </c>
      <c r="M29" s="58"/>
      <c r="N29" s="58"/>
      <c r="O29" s="58"/>
    </row>
    <row r="30" spans="1:15" x14ac:dyDescent="0.25">
      <c r="A30" s="58">
        <v>3</v>
      </c>
      <c r="B30" s="58">
        <v>8</v>
      </c>
      <c r="C30" s="58" t="s">
        <v>59</v>
      </c>
      <c r="D30" s="58" t="s">
        <v>58</v>
      </c>
      <c r="E30" s="58" t="s">
        <v>64</v>
      </c>
      <c r="F30" s="58">
        <v>31</v>
      </c>
      <c r="G30" s="58">
        <v>15</v>
      </c>
      <c r="H30" s="59">
        <f t="shared" si="0"/>
        <v>7.5476940000000006E-2</v>
      </c>
      <c r="I30" s="3">
        <f t="shared" si="1"/>
        <v>0.13723080000000001</v>
      </c>
      <c r="J30" s="59">
        <f t="shared" si="7"/>
        <v>0.41742513479999993</v>
      </c>
      <c r="K30" s="3">
        <f t="shared" si="3"/>
        <v>0.75895479054545434</v>
      </c>
      <c r="L30" s="3">
        <f t="shared" si="4"/>
        <v>1.8181818181818181</v>
      </c>
      <c r="M30" s="58"/>
      <c r="N30" s="58"/>
      <c r="O30" s="58"/>
    </row>
    <row r="31" spans="1:15" x14ac:dyDescent="0.25">
      <c r="A31" s="58">
        <v>3</v>
      </c>
      <c r="B31" s="58">
        <v>9</v>
      </c>
      <c r="C31" s="58" t="s">
        <v>59</v>
      </c>
      <c r="D31" s="58" t="s">
        <v>58</v>
      </c>
      <c r="E31" s="58" t="s">
        <v>64</v>
      </c>
      <c r="F31" s="63">
        <v>30</v>
      </c>
      <c r="G31" s="63">
        <v>12</v>
      </c>
      <c r="H31" s="59">
        <f t="shared" si="0"/>
        <v>7.0685999999999999E-2</v>
      </c>
      <c r="I31" s="3">
        <f t="shared" si="1"/>
        <v>0.12852</v>
      </c>
      <c r="J31" s="59">
        <f t="shared" si="7"/>
        <v>0.31401733679999994</v>
      </c>
      <c r="K31" s="3">
        <f t="shared" si="3"/>
        <v>0.57094061236363625</v>
      </c>
      <c r="L31" s="3">
        <f t="shared" si="4"/>
        <v>1.8181818181818181</v>
      </c>
      <c r="M31" s="58"/>
      <c r="N31" s="58"/>
      <c r="O31" s="58"/>
    </row>
    <row r="32" spans="1:15" x14ac:dyDescent="0.25">
      <c r="A32" s="58">
        <v>3</v>
      </c>
      <c r="B32" s="58">
        <v>10</v>
      </c>
      <c r="C32" s="58" t="s">
        <v>59</v>
      </c>
      <c r="D32" s="58" t="s">
        <v>58</v>
      </c>
      <c r="E32" s="58" t="s">
        <v>53</v>
      </c>
      <c r="F32" s="63">
        <v>20</v>
      </c>
      <c r="G32" s="63">
        <v>11</v>
      </c>
      <c r="H32" s="59">
        <f t="shared" si="0"/>
        <v>3.1416000000000006E-2</v>
      </c>
      <c r="I32" s="3">
        <f t="shared" si="1"/>
        <v>5.7120000000000004E-2</v>
      </c>
      <c r="J32" s="59">
        <f t="shared" si="7"/>
        <v>0.13094405679999999</v>
      </c>
      <c r="K32" s="3">
        <f t="shared" si="3"/>
        <v>0.23808010327272722</v>
      </c>
      <c r="L32" s="3">
        <f t="shared" si="4"/>
        <v>1.8181818181818181</v>
      </c>
      <c r="M32" s="58"/>
      <c r="N32" s="58"/>
      <c r="O32" s="58"/>
    </row>
    <row r="33" spans="1:15" x14ac:dyDescent="0.25">
      <c r="A33" s="58">
        <v>3</v>
      </c>
      <c r="B33" s="58">
        <v>11</v>
      </c>
      <c r="C33" s="58" t="s">
        <v>59</v>
      </c>
      <c r="D33" s="58" t="s">
        <v>58</v>
      </c>
      <c r="E33" s="58" t="s">
        <v>52</v>
      </c>
      <c r="F33" s="63">
        <v>12</v>
      </c>
      <c r="G33" s="63">
        <v>13</v>
      </c>
      <c r="H33" s="59">
        <f t="shared" si="0"/>
        <v>1.130976E-2</v>
      </c>
      <c r="I33" s="3">
        <f t="shared" si="1"/>
        <v>2.05632E-2</v>
      </c>
      <c r="J33" s="59">
        <f t="shared" si="7"/>
        <v>5.8630111200000001E-2</v>
      </c>
      <c r="K33" s="3">
        <f t="shared" si="3"/>
        <v>0.10660020218181818</v>
      </c>
      <c r="L33" s="3">
        <f t="shared" si="4"/>
        <v>1.8181818181818181</v>
      </c>
      <c r="M33" s="58"/>
      <c r="N33" s="58"/>
      <c r="O33" s="58"/>
    </row>
    <row r="34" spans="1:15" x14ac:dyDescent="0.25">
      <c r="A34" s="58">
        <v>3</v>
      </c>
      <c r="B34" s="58">
        <v>12</v>
      </c>
      <c r="C34" s="58" t="s">
        <v>59</v>
      </c>
      <c r="D34" s="58" t="s">
        <v>58</v>
      </c>
      <c r="E34" s="58" t="s">
        <v>64</v>
      </c>
      <c r="F34" s="63">
        <v>30</v>
      </c>
      <c r="G34" s="63">
        <v>14</v>
      </c>
      <c r="H34" s="59">
        <f t="shared" si="0"/>
        <v>7.0685999999999999E-2</v>
      </c>
      <c r="I34" s="3">
        <f t="shared" si="1"/>
        <v>0.12852</v>
      </c>
      <c r="J34" s="59">
        <f t="shared" si="7"/>
        <v>0.36550669679999997</v>
      </c>
      <c r="K34" s="3">
        <f t="shared" si="3"/>
        <v>0.66455763054545447</v>
      </c>
      <c r="L34" s="3">
        <f t="shared" si="4"/>
        <v>1.8181818181818181</v>
      </c>
      <c r="M34" s="58"/>
      <c r="N34" s="58"/>
      <c r="O34" s="58"/>
    </row>
    <row r="35" spans="1:15" x14ac:dyDescent="0.25">
      <c r="A35" s="58">
        <v>4</v>
      </c>
      <c r="B35" s="58">
        <v>1</v>
      </c>
      <c r="C35" s="58" t="s">
        <v>59</v>
      </c>
      <c r="D35" s="58" t="s">
        <v>58</v>
      </c>
      <c r="E35" s="58" t="s">
        <v>52</v>
      </c>
      <c r="F35" s="58">
        <v>17</v>
      </c>
      <c r="G35" s="58">
        <v>12</v>
      </c>
      <c r="H35" s="59">
        <f t="shared" si="0"/>
        <v>2.2698060000000003E-2</v>
      </c>
      <c r="I35" s="3">
        <f t="shared" si="1"/>
        <v>4.1269199999999999E-2</v>
      </c>
      <c r="J35" s="59">
        <f t="shared" si="7"/>
        <v>0.1042840104</v>
      </c>
      <c r="K35" s="3">
        <f t="shared" si="3"/>
        <v>0.18960729163636361</v>
      </c>
      <c r="L35" s="3">
        <f t="shared" si="4"/>
        <v>1.8181818181818181</v>
      </c>
      <c r="M35" s="58"/>
      <c r="N35" s="58"/>
      <c r="O35" s="58"/>
    </row>
    <row r="36" spans="1:15" x14ac:dyDescent="0.25">
      <c r="A36" s="58">
        <v>4</v>
      </c>
      <c r="B36" s="58">
        <v>2</v>
      </c>
      <c r="C36" s="58" t="s">
        <v>59</v>
      </c>
      <c r="D36" s="58" t="s">
        <v>58</v>
      </c>
      <c r="E36" s="58" t="s">
        <v>52</v>
      </c>
      <c r="F36" s="58">
        <v>18</v>
      </c>
      <c r="G36" s="58">
        <v>13</v>
      </c>
      <c r="H36" s="59">
        <f t="shared" si="0"/>
        <v>2.5446959999999998E-2</v>
      </c>
      <c r="I36" s="3">
        <f t="shared" si="1"/>
        <v>4.6267199999999994E-2</v>
      </c>
      <c r="J36" s="59">
        <f t="shared" si="7"/>
        <v>0.12556627919999999</v>
      </c>
      <c r="K36" s="3">
        <f t="shared" si="3"/>
        <v>0.22830232581818177</v>
      </c>
      <c r="L36" s="3">
        <f t="shared" si="4"/>
        <v>1.8181818181818181</v>
      </c>
      <c r="M36" s="58"/>
      <c r="N36" s="58"/>
      <c r="O36" s="58"/>
    </row>
    <row r="37" spans="1:15" x14ac:dyDescent="0.25">
      <c r="A37" s="58">
        <v>4</v>
      </c>
      <c r="B37" s="58">
        <v>3</v>
      </c>
      <c r="C37" s="58" t="s">
        <v>60</v>
      </c>
      <c r="D37" s="73" t="s">
        <v>71</v>
      </c>
      <c r="E37" s="58" t="s">
        <v>52</v>
      </c>
      <c r="F37" s="58">
        <v>12</v>
      </c>
      <c r="G37" s="58">
        <v>10</v>
      </c>
      <c r="H37" s="59">
        <f t="shared" si="0"/>
        <v>1.130976E-2</v>
      </c>
      <c r="I37" s="3">
        <f t="shared" si="1"/>
        <v>2.05632E-2</v>
      </c>
      <c r="J37" s="59">
        <f>(0.108337266+0.000046499*(F37^2*G37))</f>
        <v>0.17529582599999999</v>
      </c>
      <c r="K37" s="3">
        <f t="shared" si="3"/>
        <v>0.3187196836363636</v>
      </c>
      <c r="L37" s="3">
        <f t="shared" si="4"/>
        <v>1.8181818181818181</v>
      </c>
      <c r="M37" s="58"/>
      <c r="N37" s="58"/>
      <c r="O37" s="58"/>
    </row>
    <row r="38" spans="1:15" x14ac:dyDescent="0.25">
      <c r="A38" s="58">
        <v>4</v>
      </c>
      <c r="B38" s="58">
        <v>4</v>
      </c>
      <c r="C38" s="58" t="s">
        <v>59</v>
      </c>
      <c r="D38" s="58" t="s">
        <v>58</v>
      </c>
      <c r="E38" s="58" t="s">
        <v>52</v>
      </c>
      <c r="F38" s="58">
        <v>11</v>
      </c>
      <c r="G38" s="58">
        <v>11</v>
      </c>
      <c r="H38" s="59">
        <f t="shared" si="0"/>
        <v>9.503339999999999E-3</v>
      </c>
      <c r="I38" s="3">
        <f t="shared" si="1"/>
        <v>1.7278799999999997E-2</v>
      </c>
      <c r="J38" s="59">
        <f t="shared" ref="J38:J43" si="8">(0.0050811768+0.0000286052*(F38^2*G38))</f>
        <v>4.3154697999999991E-2</v>
      </c>
      <c r="K38" s="3">
        <f t="shared" si="3"/>
        <v>7.8463087272727244E-2</v>
      </c>
      <c r="L38" s="3">
        <f t="shared" si="4"/>
        <v>1.8181818181818181</v>
      </c>
      <c r="M38" s="58"/>
      <c r="N38" s="58"/>
      <c r="O38" s="58"/>
    </row>
    <row r="39" spans="1:15" x14ac:dyDescent="0.25">
      <c r="A39" s="58">
        <v>4</v>
      </c>
      <c r="B39" s="58">
        <v>5</v>
      </c>
      <c r="C39" s="58" t="s">
        <v>59</v>
      </c>
      <c r="D39" s="58" t="s">
        <v>58</v>
      </c>
      <c r="E39" s="58" t="s">
        <v>53</v>
      </c>
      <c r="F39" s="58">
        <v>24</v>
      </c>
      <c r="G39" s="58">
        <v>17</v>
      </c>
      <c r="H39" s="59">
        <f t="shared" si="0"/>
        <v>4.5239040000000001E-2</v>
      </c>
      <c r="I39" s="3">
        <f t="shared" si="1"/>
        <v>8.2252800000000001E-2</v>
      </c>
      <c r="J39" s="59">
        <f t="shared" si="8"/>
        <v>0.28518329519999996</v>
      </c>
      <c r="K39" s="3">
        <f t="shared" si="3"/>
        <v>0.51851508218181808</v>
      </c>
      <c r="L39" s="3">
        <f t="shared" si="4"/>
        <v>1.8181818181818181</v>
      </c>
      <c r="M39" s="58"/>
      <c r="N39" s="58"/>
      <c r="O39" s="58"/>
    </row>
    <row r="40" spans="1:15" x14ac:dyDescent="0.25">
      <c r="A40" s="58">
        <v>4</v>
      </c>
      <c r="B40" s="58">
        <v>6</v>
      </c>
      <c r="C40" s="58" t="s">
        <v>59</v>
      </c>
      <c r="D40" s="58" t="s">
        <v>58</v>
      </c>
      <c r="E40" s="58" t="s">
        <v>53</v>
      </c>
      <c r="F40" s="58">
        <v>27</v>
      </c>
      <c r="G40" s="58">
        <v>18</v>
      </c>
      <c r="H40" s="59">
        <f t="shared" si="0"/>
        <v>5.7255660000000007E-2</v>
      </c>
      <c r="I40" s="3">
        <f t="shared" si="1"/>
        <v>0.1041012</v>
      </c>
      <c r="J40" s="59">
        <f t="shared" si="8"/>
        <v>0.38043861119999994</v>
      </c>
      <c r="K40" s="3">
        <f t="shared" si="3"/>
        <v>0.69170656581818168</v>
      </c>
      <c r="L40" s="3">
        <f t="shared" si="4"/>
        <v>1.8181818181818181</v>
      </c>
      <c r="M40" s="58"/>
      <c r="N40" s="58"/>
      <c r="O40" s="58"/>
    </row>
    <row r="41" spans="1:15" x14ac:dyDescent="0.25">
      <c r="A41" s="58">
        <v>4</v>
      </c>
      <c r="B41" s="58">
        <v>7</v>
      </c>
      <c r="C41" s="58" t="s">
        <v>59</v>
      </c>
      <c r="D41" s="58" t="s">
        <v>58</v>
      </c>
      <c r="E41" s="58" t="s">
        <v>53</v>
      </c>
      <c r="F41" s="58">
        <v>27</v>
      </c>
      <c r="G41" s="58">
        <v>15</v>
      </c>
      <c r="H41" s="59">
        <f t="shared" si="0"/>
        <v>5.7255660000000007E-2</v>
      </c>
      <c r="I41" s="3">
        <f t="shared" si="1"/>
        <v>0.1041012</v>
      </c>
      <c r="J41" s="59">
        <f t="shared" si="8"/>
        <v>0.31787903879999996</v>
      </c>
      <c r="K41" s="3">
        <f t="shared" si="3"/>
        <v>0.57796188872727261</v>
      </c>
      <c r="L41" s="3">
        <f t="shared" si="4"/>
        <v>1.8181818181818181</v>
      </c>
      <c r="M41" s="58"/>
      <c r="N41" s="58"/>
      <c r="O41" s="58"/>
    </row>
    <row r="42" spans="1:15" x14ac:dyDescent="0.25">
      <c r="A42" s="58">
        <v>4</v>
      </c>
      <c r="B42" s="58">
        <v>8</v>
      </c>
      <c r="C42" s="58" t="s">
        <v>59</v>
      </c>
      <c r="D42" s="58" t="s">
        <v>58</v>
      </c>
      <c r="E42" s="58" t="s">
        <v>65</v>
      </c>
      <c r="F42" s="58">
        <v>41</v>
      </c>
      <c r="G42" s="58">
        <v>16</v>
      </c>
      <c r="H42" s="59">
        <f t="shared" si="0"/>
        <v>0.13202573999999997</v>
      </c>
      <c r="I42" s="3">
        <f t="shared" si="1"/>
        <v>0.24004679999999992</v>
      </c>
      <c r="J42" s="59">
        <f t="shared" si="8"/>
        <v>0.77444663599999997</v>
      </c>
      <c r="K42" s="3">
        <f t="shared" si="3"/>
        <v>1.4080847927272726</v>
      </c>
      <c r="L42" s="3">
        <f t="shared" si="4"/>
        <v>1.8181818181818181</v>
      </c>
      <c r="M42" s="58"/>
      <c r="N42" s="58"/>
      <c r="O42" s="58"/>
    </row>
    <row r="43" spans="1:15" x14ac:dyDescent="0.25">
      <c r="A43" s="58">
        <v>4</v>
      </c>
      <c r="B43" s="58">
        <v>9</v>
      </c>
      <c r="C43" s="58" t="s">
        <v>59</v>
      </c>
      <c r="D43" s="58" t="s">
        <v>58</v>
      </c>
      <c r="E43" s="58" t="s">
        <v>52</v>
      </c>
      <c r="F43" s="58">
        <v>17</v>
      </c>
      <c r="G43" s="58">
        <v>9</v>
      </c>
      <c r="H43" s="59">
        <f t="shared" si="0"/>
        <v>2.2698060000000003E-2</v>
      </c>
      <c r="I43" s="3">
        <f t="shared" si="1"/>
        <v>4.1269199999999999E-2</v>
      </c>
      <c r="J43" s="59">
        <f t="shared" si="8"/>
        <v>7.9483302000000006E-2</v>
      </c>
      <c r="K43" s="3">
        <f t="shared" si="3"/>
        <v>0.14451509454545455</v>
      </c>
      <c r="L43" s="3">
        <f t="shared" si="4"/>
        <v>1.8181818181818181</v>
      </c>
      <c r="M43" s="58"/>
      <c r="N43" s="58"/>
      <c r="O43" s="58"/>
    </row>
    <row r="44" spans="1:15" x14ac:dyDescent="0.25">
      <c r="A44" s="58">
        <v>4</v>
      </c>
      <c r="B44" s="58">
        <v>10</v>
      </c>
      <c r="C44" s="58" t="s">
        <v>60</v>
      </c>
      <c r="D44" s="73" t="s">
        <v>71</v>
      </c>
      <c r="E44" s="58" t="s">
        <v>52</v>
      </c>
      <c r="F44" s="58">
        <v>11</v>
      </c>
      <c r="G44" s="58">
        <v>8</v>
      </c>
      <c r="H44" s="59">
        <f t="shared" si="0"/>
        <v>9.503339999999999E-3</v>
      </c>
      <c r="I44" s="3">
        <f t="shared" si="1"/>
        <v>1.7278799999999997E-2</v>
      </c>
      <c r="J44" s="59">
        <f t="shared" ref="J44:J45" si="9">(0.108337266+0.000046499*(F44^2*G44))</f>
        <v>0.15334829799999999</v>
      </c>
      <c r="K44" s="3">
        <f t="shared" si="3"/>
        <v>0.27881508727272725</v>
      </c>
      <c r="L44" s="3">
        <f t="shared" si="4"/>
        <v>1.8181818181818181</v>
      </c>
      <c r="M44" s="58"/>
      <c r="N44" s="58"/>
      <c r="O44" s="58"/>
    </row>
    <row r="45" spans="1:15" x14ac:dyDescent="0.25">
      <c r="A45" s="58">
        <v>4</v>
      </c>
      <c r="B45" s="58">
        <v>11</v>
      </c>
      <c r="C45" s="58" t="s">
        <v>60</v>
      </c>
      <c r="D45" s="73" t="s">
        <v>71</v>
      </c>
      <c r="E45" s="58" t="s">
        <v>53</v>
      </c>
      <c r="F45" s="58">
        <v>25</v>
      </c>
      <c r="G45" s="58">
        <v>11</v>
      </c>
      <c r="H45" s="59">
        <f t="shared" si="0"/>
        <v>4.9087499999999999E-2</v>
      </c>
      <c r="I45" s="3">
        <f t="shared" si="1"/>
        <v>8.9249999999999996E-2</v>
      </c>
      <c r="J45" s="59">
        <f t="shared" si="9"/>
        <v>0.42801789099999998</v>
      </c>
      <c r="K45" s="3">
        <f t="shared" si="3"/>
        <v>0.7782143472727272</v>
      </c>
      <c r="L45" s="3">
        <f t="shared" si="4"/>
        <v>1.8181818181818181</v>
      </c>
      <c r="M45" s="58"/>
      <c r="N45" s="58"/>
      <c r="O45" s="58"/>
    </row>
    <row r="46" spans="1:15" x14ac:dyDescent="0.25">
      <c r="A46" s="58">
        <v>4</v>
      </c>
      <c r="B46" s="58">
        <v>12</v>
      </c>
      <c r="C46" s="58" t="s">
        <v>59</v>
      </c>
      <c r="D46" s="58" t="s">
        <v>58</v>
      </c>
      <c r="E46" s="58" t="s">
        <v>53</v>
      </c>
      <c r="F46" s="63">
        <v>26</v>
      </c>
      <c r="G46" s="63">
        <v>13</v>
      </c>
      <c r="H46" s="59">
        <f t="shared" si="0"/>
        <v>5.3093040000000008E-2</v>
      </c>
      <c r="I46" s="3">
        <f t="shared" si="1"/>
        <v>9.6532800000000002E-2</v>
      </c>
      <c r="J46" s="59">
        <f t="shared" ref="J46:J48" si="10">(0.0050811768+0.0000286052*(F46^2*G46))</f>
        <v>0.25646367439999995</v>
      </c>
      <c r="K46" s="3">
        <f t="shared" si="3"/>
        <v>0.4662975898181817</v>
      </c>
      <c r="L46" s="3">
        <f t="shared" si="4"/>
        <v>1.8181818181818181</v>
      </c>
      <c r="M46" s="58"/>
      <c r="N46" s="58"/>
      <c r="O46" s="58"/>
    </row>
    <row r="47" spans="1:15" x14ac:dyDescent="0.25">
      <c r="A47" s="58">
        <v>4</v>
      </c>
      <c r="B47" s="58">
        <v>13</v>
      </c>
      <c r="C47" s="58" t="s">
        <v>59</v>
      </c>
      <c r="D47" s="58" t="s">
        <v>58</v>
      </c>
      <c r="E47" s="58" t="s">
        <v>53</v>
      </c>
      <c r="F47" s="63">
        <v>20</v>
      </c>
      <c r="G47" s="63">
        <v>12</v>
      </c>
      <c r="H47" s="59">
        <f t="shared" si="0"/>
        <v>3.1416000000000006E-2</v>
      </c>
      <c r="I47" s="3">
        <f t="shared" si="1"/>
        <v>5.7120000000000004E-2</v>
      </c>
      <c r="J47" s="59">
        <f t="shared" si="10"/>
        <v>0.14238613680000001</v>
      </c>
      <c r="K47" s="3">
        <f t="shared" si="3"/>
        <v>0.25888388509090909</v>
      </c>
      <c r="L47" s="3">
        <f t="shared" si="4"/>
        <v>1.8181818181818181</v>
      </c>
      <c r="M47" s="58"/>
      <c r="N47" s="58"/>
      <c r="O47" s="58"/>
    </row>
    <row r="48" spans="1:15" x14ac:dyDescent="0.25">
      <c r="A48" s="58">
        <v>5</v>
      </c>
      <c r="B48" s="58">
        <v>1</v>
      </c>
      <c r="C48" s="58" t="s">
        <v>59</v>
      </c>
      <c r="D48" s="58" t="s">
        <v>58</v>
      </c>
      <c r="E48" s="58" t="s">
        <v>66</v>
      </c>
      <c r="F48" s="58">
        <v>51</v>
      </c>
      <c r="G48" s="58">
        <v>17</v>
      </c>
      <c r="H48" s="59">
        <f t="shared" si="0"/>
        <v>0.20428253999999998</v>
      </c>
      <c r="I48" s="3">
        <f t="shared" si="1"/>
        <v>0.37142279999999994</v>
      </c>
      <c r="J48" s="59">
        <f t="shared" si="10"/>
        <v>1.2699173052000001</v>
      </c>
      <c r="K48" s="3">
        <f t="shared" si="3"/>
        <v>2.3089405549090909</v>
      </c>
      <c r="L48" s="3">
        <f t="shared" si="4"/>
        <v>1.8181818181818181</v>
      </c>
      <c r="M48" s="58"/>
      <c r="N48" s="58"/>
      <c r="O48" s="58"/>
    </row>
    <row r="49" spans="1:15" x14ac:dyDescent="0.25">
      <c r="A49" s="58">
        <v>5</v>
      </c>
      <c r="B49" s="58">
        <v>2</v>
      </c>
      <c r="C49" s="58" t="s">
        <v>63</v>
      </c>
      <c r="D49" s="58" t="s">
        <v>62</v>
      </c>
      <c r="E49" s="58" t="s">
        <v>64</v>
      </c>
      <c r="F49" s="58">
        <v>31</v>
      </c>
      <c r="G49" s="58">
        <v>13</v>
      </c>
      <c r="H49" s="59">
        <f t="shared" si="0"/>
        <v>7.5476940000000006E-2</v>
      </c>
      <c r="I49" s="3">
        <f t="shared" si="1"/>
        <v>0.13723080000000001</v>
      </c>
      <c r="J49" s="59">
        <f>(0.0134651922+0.0000289134*(F49^2*G49))</f>
        <v>0.3746802984</v>
      </c>
      <c r="K49" s="3">
        <f t="shared" si="3"/>
        <v>0.68123690618181809</v>
      </c>
      <c r="L49" s="3">
        <f t="shared" si="4"/>
        <v>1.8181818181818181</v>
      </c>
      <c r="M49" s="58"/>
      <c r="N49" s="58"/>
      <c r="O49" s="58"/>
    </row>
    <row r="50" spans="1:15" x14ac:dyDescent="0.25">
      <c r="A50" s="58">
        <v>5</v>
      </c>
      <c r="B50" s="58">
        <v>3</v>
      </c>
      <c r="C50" s="58" t="s">
        <v>63</v>
      </c>
      <c r="D50" s="58" t="s">
        <v>62</v>
      </c>
      <c r="E50" s="58" t="s">
        <v>65</v>
      </c>
      <c r="F50" s="58">
        <v>40</v>
      </c>
      <c r="G50" s="58">
        <v>16</v>
      </c>
      <c r="H50" s="59">
        <f t="shared" si="0"/>
        <v>0.12566400000000003</v>
      </c>
      <c r="I50" s="3">
        <f t="shared" si="1"/>
        <v>0.22848000000000002</v>
      </c>
      <c r="J50" s="59">
        <f>(0.0134651922+0.0000289134*(F50^2*G50))</f>
        <v>0.75364823219999999</v>
      </c>
      <c r="K50" s="3">
        <f t="shared" si="3"/>
        <v>1.3702695130909091</v>
      </c>
      <c r="L50" s="3">
        <f t="shared" si="4"/>
        <v>1.8181818181818181</v>
      </c>
      <c r="M50" s="58"/>
      <c r="N50" s="58"/>
      <c r="O50" s="58"/>
    </row>
    <row r="51" spans="1:15" x14ac:dyDescent="0.25">
      <c r="A51" s="58">
        <v>5</v>
      </c>
      <c r="B51" s="58">
        <v>4</v>
      </c>
      <c r="C51" s="58" t="s">
        <v>60</v>
      </c>
      <c r="D51" s="73" t="s">
        <v>71</v>
      </c>
      <c r="E51" s="58" t="s">
        <v>52</v>
      </c>
      <c r="F51" s="58">
        <v>14</v>
      </c>
      <c r="G51" s="58">
        <v>10</v>
      </c>
      <c r="H51" s="59">
        <f t="shared" si="0"/>
        <v>1.5393840000000002E-2</v>
      </c>
      <c r="I51" s="3">
        <f t="shared" si="1"/>
        <v>2.7988800000000001E-2</v>
      </c>
      <c r="J51" s="59">
        <f t="shared" ref="J51:J57" si="11">(0.108337266+0.000046499*(F51^2*G51))</f>
        <v>0.19947530600000002</v>
      </c>
      <c r="K51" s="3">
        <f t="shared" si="3"/>
        <v>0.36268237454545454</v>
      </c>
      <c r="L51" s="3">
        <f t="shared" si="4"/>
        <v>1.8181818181818181</v>
      </c>
      <c r="M51" s="58"/>
      <c r="N51" s="58"/>
      <c r="O51" s="58"/>
    </row>
    <row r="52" spans="1:15" x14ac:dyDescent="0.25">
      <c r="A52" s="58">
        <v>5</v>
      </c>
      <c r="B52" s="58">
        <v>5</v>
      </c>
      <c r="C52" s="58" t="s">
        <v>60</v>
      </c>
      <c r="D52" s="73" t="s">
        <v>71</v>
      </c>
      <c r="E52" s="58" t="s">
        <v>64</v>
      </c>
      <c r="F52" s="58">
        <v>32</v>
      </c>
      <c r="G52" s="58">
        <v>11</v>
      </c>
      <c r="H52" s="59">
        <f t="shared" si="0"/>
        <v>8.0424960000000004E-2</v>
      </c>
      <c r="I52" s="3">
        <f t="shared" si="1"/>
        <v>0.1462272</v>
      </c>
      <c r="J52" s="59">
        <f t="shared" si="11"/>
        <v>0.63210200200000011</v>
      </c>
      <c r="K52" s="3">
        <f t="shared" si="3"/>
        <v>1.1492763672727273</v>
      </c>
      <c r="L52" s="3">
        <f t="shared" si="4"/>
        <v>1.8181818181818181</v>
      </c>
      <c r="M52" s="58"/>
      <c r="N52" s="58"/>
      <c r="O52" s="58"/>
    </row>
    <row r="53" spans="1:15" x14ac:dyDescent="0.25">
      <c r="A53" s="58">
        <v>5</v>
      </c>
      <c r="B53" s="58">
        <v>6</v>
      </c>
      <c r="C53" s="58" t="s">
        <v>60</v>
      </c>
      <c r="D53" s="73" t="s">
        <v>71</v>
      </c>
      <c r="E53" s="58" t="s">
        <v>64</v>
      </c>
      <c r="F53" s="58">
        <v>31</v>
      </c>
      <c r="G53" s="58">
        <v>13</v>
      </c>
      <c r="H53" s="59">
        <f t="shared" si="0"/>
        <v>7.5476940000000006E-2</v>
      </c>
      <c r="I53" s="3">
        <f t="shared" si="1"/>
        <v>0.13723080000000001</v>
      </c>
      <c r="J53" s="59">
        <f t="shared" si="11"/>
        <v>0.68924927300000005</v>
      </c>
      <c r="K53" s="3">
        <f t="shared" si="3"/>
        <v>1.2531804963636364</v>
      </c>
      <c r="L53" s="3">
        <f t="shared" si="4"/>
        <v>1.8181818181818181</v>
      </c>
      <c r="M53" s="58"/>
      <c r="N53" s="58"/>
      <c r="O53" s="58"/>
    </row>
    <row r="54" spans="1:15" x14ac:dyDescent="0.25">
      <c r="A54" s="58">
        <v>5</v>
      </c>
      <c r="B54" s="58">
        <v>7</v>
      </c>
      <c r="C54" s="58" t="s">
        <v>60</v>
      </c>
      <c r="D54" s="73" t="s">
        <v>71</v>
      </c>
      <c r="E54" s="58" t="s">
        <v>52</v>
      </c>
      <c r="F54" s="58">
        <v>17</v>
      </c>
      <c r="G54" s="58">
        <v>10</v>
      </c>
      <c r="H54" s="59">
        <f t="shared" si="0"/>
        <v>2.2698060000000003E-2</v>
      </c>
      <c r="I54" s="3">
        <f t="shared" si="1"/>
        <v>4.1269199999999999E-2</v>
      </c>
      <c r="J54" s="59">
        <f t="shared" si="11"/>
        <v>0.24271937599999999</v>
      </c>
      <c r="K54" s="3">
        <f t="shared" si="3"/>
        <v>0.44130795636363629</v>
      </c>
      <c r="L54" s="3">
        <f t="shared" si="4"/>
        <v>1.8181818181818181</v>
      </c>
      <c r="M54" s="58"/>
      <c r="N54" s="58"/>
      <c r="O54" s="58"/>
    </row>
    <row r="55" spans="1:15" x14ac:dyDescent="0.25">
      <c r="A55" s="58">
        <v>5</v>
      </c>
      <c r="B55" s="58">
        <v>8</v>
      </c>
      <c r="C55" s="58" t="s">
        <v>60</v>
      </c>
      <c r="D55" s="73" t="s">
        <v>71</v>
      </c>
      <c r="E55" s="58" t="s">
        <v>65</v>
      </c>
      <c r="F55" s="58">
        <v>40</v>
      </c>
      <c r="G55" s="58">
        <v>16</v>
      </c>
      <c r="H55" s="59">
        <f t="shared" si="0"/>
        <v>0.12566400000000003</v>
      </c>
      <c r="I55" s="3">
        <f t="shared" si="1"/>
        <v>0.22848000000000002</v>
      </c>
      <c r="J55" s="59">
        <f t="shared" si="11"/>
        <v>1.298711666</v>
      </c>
      <c r="K55" s="3">
        <f t="shared" si="3"/>
        <v>2.3612939381818179</v>
      </c>
      <c r="L55" s="3">
        <f t="shared" si="4"/>
        <v>1.8181818181818181</v>
      </c>
      <c r="M55" s="58"/>
      <c r="N55" s="58"/>
      <c r="O55" s="58"/>
    </row>
    <row r="56" spans="1:15" x14ac:dyDescent="0.25">
      <c r="A56" s="58">
        <v>5</v>
      </c>
      <c r="B56" s="58">
        <v>9</v>
      </c>
      <c r="C56" s="58" t="s">
        <v>60</v>
      </c>
      <c r="D56" s="73" t="s">
        <v>71</v>
      </c>
      <c r="E56" s="58" t="s">
        <v>52</v>
      </c>
      <c r="F56" s="58">
        <v>14</v>
      </c>
      <c r="G56" s="58">
        <v>12</v>
      </c>
      <c r="H56" s="59">
        <f t="shared" si="0"/>
        <v>1.5393840000000002E-2</v>
      </c>
      <c r="I56" s="3">
        <f t="shared" si="1"/>
        <v>2.7988800000000001E-2</v>
      </c>
      <c r="J56" s="59">
        <f t="shared" si="11"/>
        <v>0.21770291400000003</v>
      </c>
      <c r="K56" s="3">
        <f t="shared" si="3"/>
        <v>0.39582348000000001</v>
      </c>
      <c r="L56" s="3">
        <f t="shared" si="4"/>
        <v>1.8181818181818181</v>
      </c>
      <c r="M56" s="58"/>
      <c r="N56" s="58"/>
      <c r="O56" s="58"/>
    </row>
    <row r="57" spans="1:15" x14ac:dyDescent="0.25">
      <c r="A57" s="58">
        <v>6</v>
      </c>
      <c r="B57" s="58">
        <v>10</v>
      </c>
      <c r="C57" s="58" t="s">
        <v>60</v>
      </c>
      <c r="D57" s="73" t="s">
        <v>71</v>
      </c>
      <c r="E57" s="58" t="s">
        <v>66</v>
      </c>
      <c r="F57" s="58">
        <v>54</v>
      </c>
      <c r="G57" s="58">
        <v>18</v>
      </c>
      <c r="H57" s="59">
        <f t="shared" si="0"/>
        <v>0.22902264000000003</v>
      </c>
      <c r="I57" s="3">
        <f t="shared" si="1"/>
        <v>0.41640480000000002</v>
      </c>
      <c r="J57" s="59">
        <f t="shared" si="11"/>
        <v>2.5489767780000001</v>
      </c>
      <c r="K57" s="3">
        <f t="shared" si="3"/>
        <v>4.6345032327272726</v>
      </c>
      <c r="L57" s="3">
        <f t="shared" si="4"/>
        <v>1.8181818181818181</v>
      </c>
      <c r="M57" s="58"/>
      <c r="N57" s="58"/>
      <c r="O57" s="58"/>
    </row>
    <row r="58" spans="1:15" x14ac:dyDescent="0.25">
      <c r="A58" s="58">
        <v>6</v>
      </c>
      <c r="B58" s="58">
        <v>1</v>
      </c>
      <c r="C58" s="58" t="s">
        <v>59</v>
      </c>
      <c r="D58" s="58" t="s">
        <v>58</v>
      </c>
      <c r="E58" s="58" t="s">
        <v>53</v>
      </c>
      <c r="F58" s="58">
        <v>25</v>
      </c>
      <c r="G58" s="58">
        <v>16</v>
      </c>
      <c r="H58" s="59">
        <f t="shared" si="0"/>
        <v>4.9087499999999999E-2</v>
      </c>
      <c r="I58" s="3">
        <f t="shared" si="1"/>
        <v>8.9249999999999996E-2</v>
      </c>
      <c r="J58" s="59">
        <f>(0.0050811768+0.0000286052*(F58^2*G58))</f>
        <v>0.29113317679999995</v>
      </c>
      <c r="K58" s="3">
        <f t="shared" si="3"/>
        <v>0.5293330487272726</v>
      </c>
      <c r="L58" s="3">
        <f t="shared" si="4"/>
        <v>1.8181818181818181</v>
      </c>
      <c r="M58" s="58"/>
      <c r="N58" s="58"/>
      <c r="O58" s="58"/>
    </row>
    <row r="59" spans="1:15" x14ac:dyDescent="0.25">
      <c r="A59" s="58">
        <v>6</v>
      </c>
      <c r="B59" s="58">
        <v>2</v>
      </c>
      <c r="C59" s="58" t="s">
        <v>63</v>
      </c>
      <c r="D59" s="58" t="s">
        <v>62</v>
      </c>
      <c r="E59" s="58" t="s">
        <v>64</v>
      </c>
      <c r="F59" s="58">
        <v>30</v>
      </c>
      <c r="G59" s="58">
        <v>14</v>
      </c>
      <c r="H59" s="59">
        <f t="shared" si="0"/>
        <v>7.0685999999999999E-2</v>
      </c>
      <c r="I59" s="3">
        <f t="shared" si="1"/>
        <v>0.12852</v>
      </c>
      <c r="J59" s="59">
        <f>(0.0134651922+0.0000289134*(F59^2*G59))</f>
        <v>0.3777740322</v>
      </c>
      <c r="K59" s="3">
        <f t="shared" si="3"/>
        <v>0.68686187672727272</v>
      </c>
      <c r="L59" s="3">
        <f t="shared" si="4"/>
        <v>1.8181818181818181</v>
      </c>
      <c r="M59" s="58"/>
      <c r="N59" s="58"/>
      <c r="O59" s="58"/>
    </row>
    <row r="60" spans="1:15" x14ac:dyDescent="0.25">
      <c r="A60" s="58">
        <v>6</v>
      </c>
      <c r="B60" s="58">
        <v>3</v>
      </c>
      <c r="C60" s="58" t="s">
        <v>59</v>
      </c>
      <c r="D60" s="58" t="s">
        <v>58</v>
      </c>
      <c r="E60" s="58" t="s">
        <v>64</v>
      </c>
      <c r="F60" s="58">
        <v>30</v>
      </c>
      <c r="G60" s="58">
        <v>16</v>
      </c>
      <c r="H60" s="59">
        <f t="shared" si="0"/>
        <v>7.0685999999999999E-2</v>
      </c>
      <c r="I60" s="3">
        <f t="shared" si="1"/>
        <v>0.12852</v>
      </c>
      <c r="J60" s="59">
        <f>(0.0050811768+0.0000286052*(F60^2*G60))</f>
        <v>0.41699605679999996</v>
      </c>
      <c r="K60" s="3">
        <f t="shared" si="3"/>
        <v>0.75817464872727258</v>
      </c>
      <c r="L60" s="3">
        <f t="shared" si="4"/>
        <v>1.8181818181818181</v>
      </c>
      <c r="M60" s="58"/>
      <c r="N60" s="58"/>
      <c r="O60" s="58"/>
    </row>
    <row r="61" spans="1:15" x14ac:dyDescent="0.25">
      <c r="A61" s="58">
        <v>6</v>
      </c>
      <c r="B61" s="58">
        <v>4</v>
      </c>
      <c r="C61" s="58" t="s">
        <v>60</v>
      </c>
      <c r="D61" s="73" t="s">
        <v>71</v>
      </c>
      <c r="E61" s="58" t="s">
        <v>52</v>
      </c>
      <c r="F61" s="58">
        <v>10</v>
      </c>
      <c r="G61" s="58">
        <v>5</v>
      </c>
      <c r="H61" s="59">
        <f t="shared" si="0"/>
        <v>7.8540000000000016E-3</v>
      </c>
      <c r="I61" s="3">
        <f t="shared" si="1"/>
        <v>1.4280000000000001E-2</v>
      </c>
      <c r="J61" s="59">
        <f t="shared" ref="J61:J62" si="12">(0.108337266+0.000046499*(F61^2*G61))</f>
        <v>0.13158676599999999</v>
      </c>
      <c r="K61" s="3">
        <f t="shared" si="3"/>
        <v>0.23924866545454543</v>
      </c>
      <c r="L61" s="3">
        <f t="shared" si="4"/>
        <v>1.8181818181818181</v>
      </c>
      <c r="M61" s="58"/>
      <c r="N61" s="58"/>
      <c r="O61" s="58"/>
    </row>
    <row r="62" spans="1:15" x14ac:dyDescent="0.25">
      <c r="A62" s="58">
        <v>6</v>
      </c>
      <c r="B62" s="58">
        <v>5</v>
      </c>
      <c r="C62" s="58" t="s">
        <v>54</v>
      </c>
      <c r="D62" s="58" t="s">
        <v>55</v>
      </c>
      <c r="E62" s="58" t="s">
        <v>52</v>
      </c>
      <c r="F62" s="58">
        <v>12</v>
      </c>
      <c r="G62" s="58">
        <v>9</v>
      </c>
      <c r="H62" s="59">
        <f t="shared" si="0"/>
        <v>1.130976E-2</v>
      </c>
      <c r="I62" s="3">
        <f t="shared" si="1"/>
        <v>2.05632E-2</v>
      </c>
      <c r="J62" s="59">
        <f t="shared" si="12"/>
        <v>0.16859997000000002</v>
      </c>
      <c r="K62" s="3">
        <f t="shared" si="3"/>
        <v>0.30654540000000002</v>
      </c>
      <c r="L62" s="3">
        <f t="shared" si="4"/>
        <v>1.8181818181818181</v>
      </c>
      <c r="M62" s="58"/>
      <c r="N62" s="58"/>
      <c r="O62" s="58"/>
    </row>
    <row r="63" spans="1:15" x14ac:dyDescent="0.25">
      <c r="A63" s="58">
        <v>6</v>
      </c>
      <c r="B63" s="58">
        <v>6</v>
      </c>
      <c r="C63" s="58" t="s">
        <v>59</v>
      </c>
      <c r="D63" s="58" t="s">
        <v>58</v>
      </c>
      <c r="E63" s="58" t="s">
        <v>64</v>
      </c>
      <c r="F63" s="58">
        <v>34</v>
      </c>
      <c r="G63" s="58">
        <v>16</v>
      </c>
      <c r="H63" s="59">
        <f t="shared" si="0"/>
        <v>9.079224000000001E-2</v>
      </c>
      <c r="I63" s="3">
        <f t="shared" si="1"/>
        <v>0.1650768</v>
      </c>
      <c r="J63" s="59">
        <f t="shared" ref="J63:J72" si="13">(0.0050811768+0.0000286052*(F63^2*G63))</f>
        <v>0.53416295599999997</v>
      </c>
      <c r="K63" s="3">
        <f t="shared" si="3"/>
        <v>0.97120537454545441</v>
      </c>
      <c r="L63" s="3">
        <f t="shared" si="4"/>
        <v>1.8181818181818181</v>
      </c>
      <c r="M63" s="58"/>
      <c r="N63" s="58"/>
      <c r="O63" s="58"/>
    </row>
    <row r="64" spans="1:15" x14ac:dyDescent="0.25">
      <c r="A64" s="58">
        <v>6</v>
      </c>
      <c r="B64" s="58">
        <v>7</v>
      </c>
      <c r="C64" s="58" t="s">
        <v>59</v>
      </c>
      <c r="D64" s="58" t="s">
        <v>58</v>
      </c>
      <c r="E64" s="58" t="s">
        <v>52</v>
      </c>
      <c r="F64" s="63">
        <v>12</v>
      </c>
      <c r="G64" s="63">
        <v>10</v>
      </c>
      <c r="H64" s="59">
        <f t="shared" si="0"/>
        <v>1.130976E-2</v>
      </c>
      <c r="I64" s="3">
        <f t="shared" si="1"/>
        <v>2.05632E-2</v>
      </c>
      <c r="J64" s="59">
        <f t="shared" si="13"/>
        <v>4.6272664800000002E-2</v>
      </c>
      <c r="K64" s="3">
        <f t="shared" si="3"/>
        <v>8.413211781818182E-2</v>
      </c>
      <c r="L64" s="3">
        <f t="shared" si="4"/>
        <v>1.8181818181818181</v>
      </c>
      <c r="M64" s="58"/>
      <c r="N64" s="58"/>
      <c r="O64" s="58"/>
    </row>
    <row r="65" spans="1:15" x14ac:dyDescent="0.25">
      <c r="A65" s="58">
        <v>6</v>
      </c>
      <c r="B65" s="58">
        <v>8</v>
      </c>
      <c r="C65" s="58" t="s">
        <v>59</v>
      </c>
      <c r="D65" s="58" t="s">
        <v>58</v>
      </c>
      <c r="E65" s="58" t="s">
        <v>52</v>
      </c>
      <c r="F65" s="63">
        <v>14</v>
      </c>
      <c r="G65" s="63">
        <v>10</v>
      </c>
      <c r="H65" s="59">
        <f t="shared" si="0"/>
        <v>1.5393840000000002E-2</v>
      </c>
      <c r="I65" s="3">
        <f t="shared" si="1"/>
        <v>2.7988800000000001E-2</v>
      </c>
      <c r="J65" s="59">
        <f t="shared" si="13"/>
        <v>6.114736879999999E-2</v>
      </c>
      <c r="K65" s="3">
        <f t="shared" si="3"/>
        <v>0.11117703418181815</v>
      </c>
      <c r="L65" s="3">
        <f t="shared" si="4"/>
        <v>1.8181818181818181</v>
      </c>
      <c r="M65" s="58"/>
      <c r="N65" s="58"/>
      <c r="O65" s="58"/>
    </row>
    <row r="66" spans="1:15" x14ac:dyDescent="0.25">
      <c r="A66" s="58">
        <v>6</v>
      </c>
      <c r="B66" s="58">
        <v>9</v>
      </c>
      <c r="C66" s="58" t="s">
        <v>59</v>
      </c>
      <c r="D66" s="58" t="s">
        <v>58</v>
      </c>
      <c r="E66" s="58" t="s">
        <v>64</v>
      </c>
      <c r="F66" s="63">
        <v>30</v>
      </c>
      <c r="G66" s="63">
        <v>11</v>
      </c>
      <c r="H66" s="59">
        <f t="shared" ref="H66:H108" si="14">0.7854*(F66/100)^2</f>
        <v>7.0685999999999999E-2</v>
      </c>
      <c r="I66" s="3">
        <f t="shared" si="1"/>
        <v>0.12852</v>
      </c>
      <c r="J66" s="59">
        <f t="shared" si="13"/>
        <v>0.28827265679999997</v>
      </c>
      <c r="K66" s="3">
        <f t="shared" si="3"/>
        <v>0.52413210327272719</v>
      </c>
      <c r="L66" s="3">
        <f t="shared" si="4"/>
        <v>1.8181818181818181</v>
      </c>
      <c r="M66" s="58"/>
      <c r="N66" s="58"/>
      <c r="O66" s="58"/>
    </row>
    <row r="67" spans="1:15" x14ac:dyDescent="0.25">
      <c r="A67" s="58">
        <v>7</v>
      </c>
      <c r="B67" s="58">
        <v>1</v>
      </c>
      <c r="C67" s="58" t="s">
        <v>59</v>
      </c>
      <c r="D67" s="58" t="s">
        <v>58</v>
      </c>
      <c r="E67" s="58" t="s">
        <v>65</v>
      </c>
      <c r="F67" s="58">
        <v>43</v>
      </c>
      <c r="G67" s="58">
        <v>16</v>
      </c>
      <c r="H67" s="59">
        <f t="shared" si="14"/>
        <v>0.14522046</v>
      </c>
      <c r="I67" s="3">
        <f t="shared" ref="I67:I108" si="15">H67*1/$O$3</f>
        <v>0.26403719999999997</v>
      </c>
      <c r="J67" s="59">
        <f t="shared" si="13"/>
        <v>0.85133741359999993</v>
      </c>
      <c r="K67" s="3">
        <f t="shared" ref="K67:K108" si="16">J67/$O$3</f>
        <v>1.5478862065454544</v>
      </c>
      <c r="L67" s="3">
        <f t="shared" ref="L67:L108" si="17">1*1/$O$3</f>
        <v>1.8181818181818181</v>
      </c>
      <c r="M67" s="58"/>
      <c r="N67" s="58"/>
      <c r="O67" s="58"/>
    </row>
    <row r="68" spans="1:15" x14ac:dyDescent="0.25">
      <c r="A68" s="58">
        <v>7</v>
      </c>
      <c r="B68" s="58">
        <v>2</v>
      </c>
      <c r="C68" s="58" t="s">
        <v>59</v>
      </c>
      <c r="D68" s="58" t="s">
        <v>58</v>
      </c>
      <c r="E68" s="58" t="s">
        <v>65</v>
      </c>
      <c r="F68" s="58">
        <v>45</v>
      </c>
      <c r="G68" s="58">
        <v>16</v>
      </c>
      <c r="H68" s="59">
        <f t="shared" si="14"/>
        <v>0.1590435</v>
      </c>
      <c r="I68" s="3">
        <f t="shared" si="15"/>
        <v>0.28916999999999998</v>
      </c>
      <c r="J68" s="59">
        <f t="shared" si="13"/>
        <v>0.93188965679999991</v>
      </c>
      <c r="K68" s="3">
        <f t="shared" si="16"/>
        <v>1.6943448305454543</v>
      </c>
      <c r="L68" s="3">
        <f t="shared" si="17"/>
        <v>1.8181818181818181</v>
      </c>
      <c r="M68" s="58"/>
      <c r="N68" s="58"/>
      <c r="O68" s="58"/>
    </row>
    <row r="69" spans="1:15" x14ac:dyDescent="0.25">
      <c r="A69" s="58">
        <v>7</v>
      </c>
      <c r="B69" s="58">
        <v>3</v>
      </c>
      <c r="C69" s="58" t="s">
        <v>59</v>
      </c>
      <c r="D69" s="58" t="s">
        <v>58</v>
      </c>
      <c r="E69" s="58" t="s">
        <v>52</v>
      </c>
      <c r="F69" s="58">
        <v>17</v>
      </c>
      <c r="G69" s="58">
        <v>12</v>
      </c>
      <c r="H69" s="59">
        <f t="shared" si="14"/>
        <v>2.2698060000000003E-2</v>
      </c>
      <c r="I69" s="3">
        <f t="shared" si="15"/>
        <v>4.1269199999999999E-2</v>
      </c>
      <c r="J69" s="59">
        <f t="shared" si="13"/>
        <v>0.1042840104</v>
      </c>
      <c r="K69" s="3">
        <f t="shared" si="16"/>
        <v>0.18960729163636361</v>
      </c>
      <c r="L69" s="3">
        <f t="shared" si="17"/>
        <v>1.8181818181818181</v>
      </c>
      <c r="M69" s="58"/>
      <c r="N69" s="58"/>
      <c r="O69" s="58"/>
    </row>
    <row r="70" spans="1:15" s="1" customFormat="1" x14ac:dyDescent="0.25">
      <c r="A70" s="58">
        <v>7</v>
      </c>
      <c r="B70" s="58">
        <v>4</v>
      </c>
      <c r="C70" s="58" t="s">
        <v>59</v>
      </c>
      <c r="D70" s="58" t="s">
        <v>58</v>
      </c>
      <c r="E70" s="58" t="s">
        <v>52</v>
      </c>
      <c r="F70" s="58">
        <v>10</v>
      </c>
      <c r="G70" s="58">
        <v>8</v>
      </c>
      <c r="H70" s="59">
        <f t="shared" si="14"/>
        <v>7.8540000000000016E-3</v>
      </c>
      <c r="I70" s="3">
        <f t="shared" si="15"/>
        <v>1.4280000000000001E-2</v>
      </c>
      <c r="J70" s="59">
        <f t="shared" si="13"/>
        <v>2.7965336799999997E-2</v>
      </c>
      <c r="K70" s="3">
        <f t="shared" si="16"/>
        <v>5.0846066909090902E-2</v>
      </c>
      <c r="L70" s="3">
        <f t="shared" si="17"/>
        <v>1.8181818181818181</v>
      </c>
      <c r="M70" s="58"/>
      <c r="N70" s="58"/>
      <c r="O70" s="58"/>
    </row>
    <row r="71" spans="1:15" s="1" customFormat="1" x14ac:dyDescent="0.25">
      <c r="A71" s="58">
        <v>7</v>
      </c>
      <c r="B71" s="58">
        <v>5</v>
      </c>
      <c r="C71" s="58" t="s">
        <v>59</v>
      </c>
      <c r="D71" s="58" t="s">
        <v>58</v>
      </c>
      <c r="E71" s="58" t="s">
        <v>52</v>
      </c>
      <c r="F71" s="58">
        <v>11</v>
      </c>
      <c r="G71" s="58">
        <v>5</v>
      </c>
      <c r="H71" s="59">
        <f t="shared" si="14"/>
        <v>9.503339999999999E-3</v>
      </c>
      <c r="I71" s="3">
        <f t="shared" si="15"/>
        <v>1.7278799999999997E-2</v>
      </c>
      <c r="J71" s="59">
        <f t="shared" si="13"/>
        <v>2.2387322799999998E-2</v>
      </c>
      <c r="K71" s="3">
        <f t="shared" si="16"/>
        <v>4.0704223272727269E-2</v>
      </c>
      <c r="L71" s="3">
        <f t="shared" si="17"/>
        <v>1.8181818181818181</v>
      </c>
      <c r="M71" s="58"/>
      <c r="N71" s="58"/>
      <c r="O71" s="58"/>
    </row>
    <row r="72" spans="1:15" s="1" customFormat="1" x14ac:dyDescent="0.25">
      <c r="A72" s="58">
        <v>7</v>
      </c>
      <c r="B72" s="58">
        <v>6</v>
      </c>
      <c r="C72" s="58" t="s">
        <v>59</v>
      </c>
      <c r="D72" s="58" t="s">
        <v>58</v>
      </c>
      <c r="E72" s="58" t="s">
        <v>66</v>
      </c>
      <c r="F72" s="58">
        <v>51</v>
      </c>
      <c r="G72" s="58">
        <v>18</v>
      </c>
      <c r="H72" s="59">
        <f t="shared" si="14"/>
        <v>0.20428253999999998</v>
      </c>
      <c r="I72" s="3">
        <f t="shared" si="15"/>
        <v>0.37142279999999994</v>
      </c>
      <c r="J72" s="59">
        <f t="shared" si="13"/>
        <v>1.3443194303999999</v>
      </c>
      <c r="K72" s="3">
        <f t="shared" si="16"/>
        <v>2.4442171461818178</v>
      </c>
      <c r="L72" s="3">
        <f t="shared" si="17"/>
        <v>1.8181818181818181</v>
      </c>
      <c r="M72" s="58"/>
      <c r="N72" s="58"/>
      <c r="O72" s="58"/>
    </row>
    <row r="73" spans="1:15" x14ac:dyDescent="0.25">
      <c r="A73" s="58">
        <v>7</v>
      </c>
      <c r="B73" s="58">
        <v>7</v>
      </c>
      <c r="C73" s="58" t="s">
        <v>60</v>
      </c>
      <c r="D73" s="73" t="s">
        <v>71</v>
      </c>
      <c r="E73" s="58" t="s">
        <v>52</v>
      </c>
      <c r="F73" s="63">
        <v>10</v>
      </c>
      <c r="G73" s="63">
        <v>6</v>
      </c>
      <c r="H73" s="59">
        <f t="shared" si="14"/>
        <v>7.8540000000000016E-3</v>
      </c>
      <c r="I73" s="3">
        <f t="shared" si="15"/>
        <v>1.4280000000000001E-2</v>
      </c>
      <c r="J73" s="59">
        <f t="shared" ref="J73:J75" si="18">(0.108337266+0.000046499*(F73^2*G73))</f>
        <v>0.13623666600000001</v>
      </c>
      <c r="K73" s="3">
        <f t="shared" si="16"/>
        <v>0.24770302909090908</v>
      </c>
      <c r="L73" s="3">
        <f t="shared" si="17"/>
        <v>1.8181818181818181</v>
      </c>
      <c r="M73" s="58"/>
      <c r="N73" s="58"/>
      <c r="O73" s="58"/>
    </row>
    <row r="74" spans="1:15" x14ac:dyDescent="0.25">
      <c r="A74" s="58">
        <v>7</v>
      </c>
      <c r="B74" s="58">
        <v>8</v>
      </c>
      <c r="C74" s="58" t="s">
        <v>60</v>
      </c>
      <c r="D74" s="73" t="s">
        <v>71</v>
      </c>
      <c r="E74" s="58" t="s">
        <v>52</v>
      </c>
      <c r="F74" s="63">
        <v>12</v>
      </c>
      <c r="G74" s="63">
        <v>6</v>
      </c>
      <c r="H74" s="59">
        <f t="shared" si="14"/>
        <v>1.130976E-2</v>
      </c>
      <c r="I74" s="3">
        <f t="shared" si="15"/>
        <v>2.05632E-2</v>
      </c>
      <c r="J74" s="59">
        <f t="shared" si="18"/>
        <v>0.14851240199999999</v>
      </c>
      <c r="K74" s="3">
        <f t="shared" si="16"/>
        <v>0.27002254909090906</v>
      </c>
      <c r="L74" s="3">
        <f t="shared" si="17"/>
        <v>1.8181818181818181</v>
      </c>
      <c r="M74" s="58"/>
      <c r="N74" s="58"/>
      <c r="O74" s="58"/>
    </row>
    <row r="75" spans="1:15" s="1" customFormat="1" x14ac:dyDescent="0.25">
      <c r="A75" s="58">
        <v>7</v>
      </c>
      <c r="B75" s="58">
        <v>9</v>
      </c>
      <c r="C75" s="58" t="s">
        <v>60</v>
      </c>
      <c r="D75" s="73" t="s">
        <v>71</v>
      </c>
      <c r="E75" s="58" t="s">
        <v>64</v>
      </c>
      <c r="F75" s="63">
        <v>30</v>
      </c>
      <c r="G75" s="63">
        <v>13</v>
      </c>
      <c r="H75" s="59">
        <f t="shared" si="14"/>
        <v>7.0685999999999999E-2</v>
      </c>
      <c r="I75" s="3">
        <f t="shared" si="15"/>
        <v>0.12852</v>
      </c>
      <c r="J75" s="59">
        <f t="shared" si="18"/>
        <v>0.65237556600000013</v>
      </c>
      <c r="K75" s="3">
        <f t="shared" si="16"/>
        <v>1.1861373927272729</v>
      </c>
      <c r="L75" s="3">
        <f t="shared" si="17"/>
        <v>1.8181818181818181</v>
      </c>
      <c r="M75" s="58"/>
      <c r="N75" s="58"/>
      <c r="O75" s="58"/>
    </row>
    <row r="76" spans="1:15" x14ac:dyDescent="0.25">
      <c r="A76" s="58">
        <v>7</v>
      </c>
      <c r="B76" s="58">
        <v>10</v>
      </c>
      <c r="C76" s="58" t="s">
        <v>59</v>
      </c>
      <c r="D76" s="58" t="s">
        <v>58</v>
      </c>
      <c r="E76" s="58" t="s">
        <v>53</v>
      </c>
      <c r="F76" s="63">
        <v>20</v>
      </c>
      <c r="G76" s="63">
        <v>14</v>
      </c>
      <c r="H76" s="59">
        <f t="shared" si="14"/>
        <v>3.1416000000000006E-2</v>
      </c>
      <c r="I76" s="3">
        <f t="shared" si="15"/>
        <v>5.7120000000000004E-2</v>
      </c>
      <c r="J76" s="59">
        <f>(0.0050811768+0.0000286052*(F76^2*G76))</f>
        <v>0.16527029679999999</v>
      </c>
      <c r="K76" s="3">
        <f t="shared" si="16"/>
        <v>0.30049144872727268</v>
      </c>
      <c r="L76" s="3">
        <f t="shared" si="17"/>
        <v>1.8181818181818181</v>
      </c>
      <c r="M76" s="58"/>
      <c r="N76" s="58"/>
      <c r="O76" s="58"/>
    </row>
    <row r="77" spans="1:15" x14ac:dyDescent="0.25">
      <c r="A77" s="58">
        <v>8</v>
      </c>
      <c r="B77" s="58">
        <v>1</v>
      </c>
      <c r="C77" s="58" t="s">
        <v>63</v>
      </c>
      <c r="D77" s="58" t="s">
        <v>62</v>
      </c>
      <c r="E77" s="58" t="s">
        <v>64</v>
      </c>
      <c r="F77" s="58">
        <v>36</v>
      </c>
      <c r="G77" s="58">
        <v>18</v>
      </c>
      <c r="H77" s="59">
        <f t="shared" si="14"/>
        <v>0.10178783999999999</v>
      </c>
      <c r="I77" s="3">
        <f t="shared" si="15"/>
        <v>0.18506879999999998</v>
      </c>
      <c r="J77" s="59">
        <f>(0.0134651922+0.0000289134*(F77^2*G77))</f>
        <v>0.6879569874</v>
      </c>
      <c r="K77" s="3">
        <f t="shared" si="16"/>
        <v>1.250830886181818</v>
      </c>
      <c r="L77" s="3">
        <f t="shared" si="17"/>
        <v>1.8181818181818181</v>
      </c>
      <c r="M77" s="58"/>
      <c r="N77" s="58"/>
      <c r="O77" s="58"/>
    </row>
    <row r="78" spans="1:15" x14ac:dyDescent="0.25">
      <c r="A78" s="58">
        <v>8</v>
      </c>
      <c r="B78" s="58">
        <v>2</v>
      </c>
      <c r="C78" s="58" t="s">
        <v>59</v>
      </c>
      <c r="D78" s="58" t="s">
        <v>58</v>
      </c>
      <c r="E78" s="58" t="s">
        <v>52</v>
      </c>
      <c r="F78" s="58">
        <v>19</v>
      </c>
      <c r="G78" s="58">
        <v>17</v>
      </c>
      <c r="H78" s="59">
        <f t="shared" si="14"/>
        <v>2.835294E-2</v>
      </c>
      <c r="I78" s="3">
        <f t="shared" si="15"/>
        <v>5.1550799999999994E-2</v>
      </c>
      <c r="J78" s="59">
        <f>(0.0050811768+0.0000286052*(F78^2*G78))</f>
        <v>0.18063128919999999</v>
      </c>
      <c r="K78" s="3">
        <f t="shared" si="16"/>
        <v>0.32842052581818176</v>
      </c>
      <c r="L78" s="3">
        <f t="shared" si="17"/>
        <v>1.8181818181818181</v>
      </c>
      <c r="M78" s="58"/>
      <c r="N78" s="58"/>
      <c r="O78" s="58"/>
    </row>
    <row r="79" spans="1:15" x14ac:dyDescent="0.25">
      <c r="A79" s="58">
        <v>8</v>
      </c>
      <c r="B79" s="58">
        <v>3</v>
      </c>
      <c r="C79" s="58" t="s">
        <v>63</v>
      </c>
      <c r="D79" s="58" t="s">
        <v>62</v>
      </c>
      <c r="E79" s="58" t="s">
        <v>64</v>
      </c>
      <c r="F79" s="58">
        <v>35</v>
      </c>
      <c r="G79" s="58">
        <v>19</v>
      </c>
      <c r="H79" s="59">
        <f t="shared" si="14"/>
        <v>9.6211499999999991E-2</v>
      </c>
      <c r="I79" s="3">
        <f t="shared" si="15"/>
        <v>0.17492999999999997</v>
      </c>
      <c r="J79" s="59">
        <f t="shared" ref="J79:J82" si="19">(0.0134651922+0.0000289134*(F79^2*G79))</f>
        <v>0.68642457719999994</v>
      </c>
      <c r="K79" s="3">
        <f t="shared" si="16"/>
        <v>1.2480446858181815</v>
      </c>
      <c r="L79" s="3">
        <f t="shared" si="17"/>
        <v>1.8181818181818181</v>
      </c>
      <c r="M79" s="58"/>
      <c r="N79" s="58"/>
      <c r="O79" s="58"/>
    </row>
    <row r="80" spans="1:15" x14ac:dyDescent="0.25">
      <c r="A80" s="58">
        <v>8</v>
      </c>
      <c r="B80" s="58">
        <v>4</v>
      </c>
      <c r="C80" s="58" t="s">
        <v>63</v>
      </c>
      <c r="D80" s="58" t="s">
        <v>62</v>
      </c>
      <c r="E80" s="58" t="s">
        <v>53</v>
      </c>
      <c r="F80" s="58">
        <v>20</v>
      </c>
      <c r="G80" s="58">
        <v>20</v>
      </c>
      <c r="H80" s="59">
        <f t="shared" si="14"/>
        <v>3.1416000000000006E-2</v>
      </c>
      <c r="I80" s="3">
        <f t="shared" si="15"/>
        <v>5.7120000000000004E-2</v>
      </c>
      <c r="J80" s="59">
        <f t="shared" si="19"/>
        <v>0.24477239219999999</v>
      </c>
      <c r="K80" s="3">
        <f t="shared" si="16"/>
        <v>0.44504071309090903</v>
      </c>
      <c r="L80" s="3">
        <f t="shared" si="17"/>
        <v>1.8181818181818181</v>
      </c>
      <c r="M80" s="58"/>
      <c r="N80" s="58"/>
      <c r="O80" s="58"/>
    </row>
    <row r="81" spans="1:15" x14ac:dyDescent="0.25">
      <c r="A81" s="58">
        <v>8</v>
      </c>
      <c r="B81" s="58">
        <v>5</v>
      </c>
      <c r="C81" s="58" t="s">
        <v>63</v>
      </c>
      <c r="D81" s="58" t="s">
        <v>62</v>
      </c>
      <c r="E81" s="58" t="s">
        <v>64</v>
      </c>
      <c r="F81" s="58">
        <v>36</v>
      </c>
      <c r="G81" s="58">
        <v>22</v>
      </c>
      <c r="H81" s="59">
        <f t="shared" si="14"/>
        <v>0.10178783999999999</v>
      </c>
      <c r="I81" s="3">
        <f t="shared" si="15"/>
        <v>0.18506879999999998</v>
      </c>
      <c r="J81" s="59">
        <f t="shared" si="19"/>
        <v>0.83784405299999998</v>
      </c>
      <c r="K81" s="3">
        <f t="shared" si="16"/>
        <v>1.5233528236363634</v>
      </c>
      <c r="L81" s="3">
        <f t="shared" si="17"/>
        <v>1.8181818181818181</v>
      </c>
      <c r="M81" s="58"/>
      <c r="N81" s="58"/>
      <c r="O81" s="58"/>
    </row>
    <row r="82" spans="1:15" x14ac:dyDescent="0.25">
      <c r="A82" s="58">
        <v>8</v>
      </c>
      <c r="B82" s="58">
        <v>6</v>
      </c>
      <c r="C82" s="58" t="s">
        <v>63</v>
      </c>
      <c r="D82" s="58" t="s">
        <v>62</v>
      </c>
      <c r="E82" s="58" t="s">
        <v>52</v>
      </c>
      <c r="F82" s="58">
        <v>18</v>
      </c>
      <c r="G82" s="58">
        <v>16</v>
      </c>
      <c r="H82" s="59">
        <f t="shared" si="14"/>
        <v>2.5446959999999998E-2</v>
      </c>
      <c r="I82" s="3">
        <f t="shared" si="15"/>
        <v>4.6267199999999994E-2</v>
      </c>
      <c r="J82" s="59">
        <f t="shared" si="19"/>
        <v>0.16335225780000001</v>
      </c>
      <c r="K82" s="3">
        <f t="shared" si="16"/>
        <v>0.29700410509090908</v>
      </c>
      <c r="L82" s="3">
        <f t="shared" si="17"/>
        <v>1.8181818181818181</v>
      </c>
      <c r="M82" s="58"/>
      <c r="N82" s="58"/>
      <c r="O82" s="58"/>
    </row>
    <row r="83" spans="1:15" x14ac:dyDescent="0.25">
      <c r="A83" s="58">
        <v>9</v>
      </c>
      <c r="B83" s="58">
        <v>1</v>
      </c>
      <c r="C83" s="58" t="s">
        <v>59</v>
      </c>
      <c r="D83" s="58" t="s">
        <v>58</v>
      </c>
      <c r="E83" s="58" t="s">
        <v>65</v>
      </c>
      <c r="F83" s="58">
        <v>43</v>
      </c>
      <c r="G83" s="58">
        <v>18</v>
      </c>
      <c r="H83" s="59">
        <f t="shared" si="14"/>
        <v>0.14522046</v>
      </c>
      <c r="I83" s="3">
        <f t="shared" si="15"/>
        <v>0.26403719999999997</v>
      </c>
      <c r="J83" s="59">
        <f>(0.0050811768+0.0000286052*(F83^2*G83))</f>
        <v>0.95711944319999998</v>
      </c>
      <c r="K83" s="3">
        <f t="shared" si="16"/>
        <v>1.7402171694545452</v>
      </c>
      <c r="L83" s="3">
        <f t="shared" si="17"/>
        <v>1.8181818181818181</v>
      </c>
      <c r="M83" s="58"/>
      <c r="N83" s="58"/>
      <c r="O83" s="58"/>
    </row>
    <row r="84" spans="1:15" x14ac:dyDescent="0.25">
      <c r="A84" s="58">
        <v>9</v>
      </c>
      <c r="B84" s="58">
        <v>2</v>
      </c>
      <c r="C84" s="58" t="s">
        <v>54</v>
      </c>
      <c r="D84" s="58" t="s">
        <v>55</v>
      </c>
      <c r="E84" s="58" t="s">
        <v>52</v>
      </c>
      <c r="F84" s="58">
        <v>19</v>
      </c>
      <c r="G84" s="58">
        <v>12</v>
      </c>
      <c r="H84" s="59">
        <f t="shared" si="14"/>
        <v>2.835294E-2</v>
      </c>
      <c r="I84" s="3">
        <f t="shared" si="15"/>
        <v>5.1550799999999994E-2</v>
      </c>
      <c r="J84" s="59">
        <f t="shared" ref="J84:J85" si="20">(0.108337266+0.000046499*(F84^2*G84))</f>
        <v>0.309770934</v>
      </c>
      <c r="K84" s="3">
        <f t="shared" si="16"/>
        <v>0.5632198799999999</v>
      </c>
      <c r="L84" s="3">
        <f t="shared" si="17"/>
        <v>1.8181818181818181</v>
      </c>
      <c r="M84" s="58"/>
      <c r="N84" s="58"/>
      <c r="O84" s="58"/>
    </row>
    <row r="85" spans="1:15" x14ac:dyDescent="0.25">
      <c r="A85" s="58">
        <v>9</v>
      </c>
      <c r="B85" s="58">
        <v>3</v>
      </c>
      <c r="C85" s="58" t="s">
        <v>54</v>
      </c>
      <c r="D85" s="58" t="s">
        <v>55</v>
      </c>
      <c r="E85" s="58" t="s">
        <v>52</v>
      </c>
      <c r="F85" s="58">
        <v>11</v>
      </c>
      <c r="G85" s="58">
        <v>7</v>
      </c>
      <c r="H85" s="59">
        <f t="shared" si="14"/>
        <v>9.503339999999999E-3</v>
      </c>
      <c r="I85" s="3">
        <f t="shared" si="15"/>
        <v>1.7278799999999997E-2</v>
      </c>
      <c r="J85" s="59">
        <f t="shared" si="20"/>
        <v>0.14772191900000001</v>
      </c>
      <c r="K85" s="3">
        <f t="shared" si="16"/>
        <v>0.26858530727272728</v>
      </c>
      <c r="L85" s="3">
        <f t="shared" si="17"/>
        <v>1.8181818181818181</v>
      </c>
      <c r="M85" s="58"/>
      <c r="N85" s="58"/>
      <c r="O85" s="58"/>
    </row>
    <row r="86" spans="1:15" x14ac:dyDescent="0.25">
      <c r="A86" s="58">
        <v>9</v>
      </c>
      <c r="B86" s="58">
        <v>4</v>
      </c>
      <c r="C86" s="58" t="s">
        <v>63</v>
      </c>
      <c r="D86" s="58" t="s">
        <v>62</v>
      </c>
      <c r="E86" s="58" t="s">
        <v>53</v>
      </c>
      <c r="F86" s="58">
        <v>28</v>
      </c>
      <c r="G86" s="58">
        <v>17</v>
      </c>
      <c r="H86" s="59">
        <f t="shared" si="14"/>
        <v>6.157536000000001E-2</v>
      </c>
      <c r="I86" s="3">
        <f t="shared" si="15"/>
        <v>0.1119552</v>
      </c>
      <c r="J86" s="59">
        <f t="shared" ref="J86:J91" si="21">(0.0134651922+0.0000289134*(F86^2*G86))</f>
        <v>0.3988229874</v>
      </c>
      <c r="K86" s="3">
        <f t="shared" si="16"/>
        <v>0.7251327043636363</v>
      </c>
      <c r="L86" s="3">
        <f t="shared" si="17"/>
        <v>1.8181818181818181</v>
      </c>
      <c r="M86" s="58"/>
      <c r="N86" s="58"/>
      <c r="O86" s="58"/>
    </row>
    <row r="87" spans="1:15" x14ac:dyDescent="0.25">
      <c r="A87" s="58">
        <v>9</v>
      </c>
      <c r="B87" s="58">
        <v>5</v>
      </c>
      <c r="C87" s="58" t="s">
        <v>63</v>
      </c>
      <c r="D87" s="58" t="s">
        <v>62</v>
      </c>
      <c r="E87" s="58" t="s">
        <v>53</v>
      </c>
      <c r="F87" s="58">
        <v>26</v>
      </c>
      <c r="G87" s="58">
        <v>17</v>
      </c>
      <c r="H87" s="59">
        <f t="shared" si="14"/>
        <v>5.3093040000000008E-2</v>
      </c>
      <c r="I87" s="3">
        <f t="shared" si="15"/>
        <v>9.6532800000000002E-2</v>
      </c>
      <c r="J87" s="59">
        <f t="shared" si="21"/>
        <v>0.34573798499999997</v>
      </c>
      <c r="K87" s="3">
        <f t="shared" si="16"/>
        <v>0.62861451818181813</v>
      </c>
      <c r="L87" s="3">
        <f t="shared" si="17"/>
        <v>1.8181818181818181</v>
      </c>
      <c r="M87" s="58"/>
      <c r="N87" s="58"/>
      <c r="O87" s="58"/>
    </row>
    <row r="88" spans="1:15" x14ac:dyDescent="0.25">
      <c r="A88" s="58">
        <v>9</v>
      </c>
      <c r="B88" s="58">
        <v>6</v>
      </c>
      <c r="C88" s="58" t="s">
        <v>63</v>
      </c>
      <c r="D88" s="58" t="s">
        <v>62</v>
      </c>
      <c r="E88" s="58" t="s">
        <v>64</v>
      </c>
      <c r="F88" s="58">
        <v>32</v>
      </c>
      <c r="G88" s="58">
        <v>13</v>
      </c>
      <c r="H88" s="59">
        <f t="shared" si="14"/>
        <v>8.0424960000000004E-2</v>
      </c>
      <c r="I88" s="3">
        <f t="shared" si="15"/>
        <v>0.1462272</v>
      </c>
      <c r="J88" s="59">
        <f t="shared" si="21"/>
        <v>0.39836037299999999</v>
      </c>
      <c r="K88" s="3">
        <f t="shared" si="16"/>
        <v>0.72429158727272724</v>
      </c>
      <c r="L88" s="3">
        <f t="shared" si="17"/>
        <v>1.8181818181818181</v>
      </c>
      <c r="M88" s="58"/>
      <c r="N88" s="58"/>
      <c r="O88" s="58"/>
    </row>
    <row r="89" spans="1:15" x14ac:dyDescent="0.25">
      <c r="A89" s="58">
        <v>9</v>
      </c>
      <c r="B89" s="58">
        <v>7</v>
      </c>
      <c r="C89" s="58" t="s">
        <v>63</v>
      </c>
      <c r="D89" s="58" t="s">
        <v>62</v>
      </c>
      <c r="E89" s="58" t="s">
        <v>64</v>
      </c>
      <c r="F89" s="58">
        <v>31</v>
      </c>
      <c r="G89" s="58">
        <v>17</v>
      </c>
      <c r="H89" s="59">
        <f t="shared" si="14"/>
        <v>7.5476940000000006E-2</v>
      </c>
      <c r="I89" s="3">
        <f t="shared" si="15"/>
        <v>0.13723080000000001</v>
      </c>
      <c r="J89" s="59">
        <f t="shared" si="21"/>
        <v>0.48582340799999996</v>
      </c>
      <c r="K89" s="3">
        <f t="shared" si="16"/>
        <v>0.88331528727272712</v>
      </c>
      <c r="L89" s="3">
        <f t="shared" si="17"/>
        <v>1.8181818181818181</v>
      </c>
      <c r="M89" s="58"/>
      <c r="N89" s="58"/>
      <c r="O89" s="58"/>
    </row>
    <row r="90" spans="1:15" x14ac:dyDescent="0.25">
      <c r="A90" s="58">
        <v>9</v>
      </c>
      <c r="B90" s="58">
        <v>8</v>
      </c>
      <c r="C90" s="58" t="s">
        <v>63</v>
      </c>
      <c r="D90" s="58" t="s">
        <v>62</v>
      </c>
      <c r="E90" s="58" t="s">
        <v>53</v>
      </c>
      <c r="F90" s="58">
        <v>29</v>
      </c>
      <c r="G90" s="58">
        <v>18</v>
      </c>
      <c r="H90" s="59">
        <f t="shared" si="14"/>
        <v>6.6052139999999995E-2</v>
      </c>
      <c r="I90" s="3">
        <f t="shared" si="15"/>
        <v>0.12009479999999999</v>
      </c>
      <c r="J90" s="59">
        <f t="shared" si="21"/>
        <v>0.45115624139999999</v>
      </c>
      <c r="K90" s="3">
        <f t="shared" si="16"/>
        <v>0.82028407527272718</v>
      </c>
      <c r="L90" s="3">
        <f t="shared" si="17"/>
        <v>1.8181818181818181</v>
      </c>
      <c r="M90" s="58"/>
      <c r="N90" s="58"/>
      <c r="O90" s="58"/>
    </row>
    <row r="91" spans="1:15" x14ac:dyDescent="0.25">
      <c r="A91" s="58">
        <v>9</v>
      </c>
      <c r="B91" s="58">
        <v>9</v>
      </c>
      <c r="C91" s="58" t="s">
        <v>63</v>
      </c>
      <c r="D91" s="58" t="s">
        <v>62</v>
      </c>
      <c r="E91" s="58" t="s">
        <v>64</v>
      </c>
      <c r="F91" s="58">
        <v>34</v>
      </c>
      <c r="G91" s="58">
        <v>18</v>
      </c>
      <c r="H91" s="59">
        <f t="shared" si="14"/>
        <v>9.079224000000001E-2</v>
      </c>
      <c r="I91" s="3">
        <f t="shared" si="15"/>
        <v>0.1650768</v>
      </c>
      <c r="J91" s="59">
        <f t="shared" si="21"/>
        <v>0.6150952194</v>
      </c>
      <c r="K91" s="3">
        <f t="shared" si="16"/>
        <v>1.1183549443636362</v>
      </c>
      <c r="L91" s="3">
        <f t="shared" si="17"/>
        <v>1.8181818181818181</v>
      </c>
      <c r="M91" s="58"/>
      <c r="N91" s="58"/>
      <c r="O91" s="58"/>
    </row>
    <row r="92" spans="1:15" x14ac:dyDescent="0.25">
      <c r="A92" s="58">
        <v>9</v>
      </c>
      <c r="B92" s="58">
        <v>10</v>
      </c>
      <c r="C92" s="58" t="s">
        <v>59</v>
      </c>
      <c r="D92" s="58" t="s">
        <v>58</v>
      </c>
      <c r="E92" s="58" t="s">
        <v>52</v>
      </c>
      <c r="F92" s="58">
        <v>14</v>
      </c>
      <c r="G92" s="58">
        <v>8</v>
      </c>
      <c r="H92" s="59">
        <f t="shared" si="14"/>
        <v>1.5393840000000002E-2</v>
      </c>
      <c r="I92" s="3">
        <f t="shared" si="15"/>
        <v>2.7988800000000001E-2</v>
      </c>
      <c r="J92" s="59">
        <f>(0.0050811768+0.0000286052*(F92^2*G92))</f>
        <v>4.9934130399999999E-2</v>
      </c>
      <c r="K92" s="3">
        <f t="shared" si="16"/>
        <v>9.0789327999999989E-2</v>
      </c>
      <c r="L92" s="3">
        <f t="shared" si="17"/>
        <v>1.8181818181818181</v>
      </c>
      <c r="M92" s="58"/>
      <c r="N92" s="58"/>
      <c r="O92" s="58"/>
    </row>
    <row r="93" spans="1:15" x14ac:dyDescent="0.25">
      <c r="A93" s="58">
        <v>9</v>
      </c>
      <c r="B93" s="58">
        <v>11</v>
      </c>
      <c r="C93" s="58" t="s">
        <v>63</v>
      </c>
      <c r="D93" s="58" t="s">
        <v>62</v>
      </c>
      <c r="E93" s="58" t="s">
        <v>52</v>
      </c>
      <c r="F93" s="58">
        <v>16</v>
      </c>
      <c r="G93" s="58">
        <v>13</v>
      </c>
      <c r="H93" s="59">
        <f t="shared" si="14"/>
        <v>2.0106240000000001E-2</v>
      </c>
      <c r="I93" s="3">
        <f t="shared" si="15"/>
        <v>3.65568E-2</v>
      </c>
      <c r="J93" s="59">
        <f>(0.0134651922+0.0000289134*(F93^2*G93))</f>
        <v>0.10968898740000001</v>
      </c>
      <c r="K93" s="3">
        <f t="shared" si="16"/>
        <v>0.19943452254545455</v>
      </c>
      <c r="L93" s="3">
        <f t="shared" si="17"/>
        <v>1.8181818181818181</v>
      </c>
      <c r="M93" s="58"/>
      <c r="N93" s="58"/>
      <c r="O93" s="58"/>
    </row>
    <row r="94" spans="1:15" x14ac:dyDescent="0.25">
      <c r="A94" s="58">
        <v>9</v>
      </c>
      <c r="B94" s="58">
        <v>12</v>
      </c>
      <c r="C94" s="58" t="s">
        <v>60</v>
      </c>
      <c r="D94" s="73" t="s">
        <v>71</v>
      </c>
      <c r="E94" s="58" t="s">
        <v>53</v>
      </c>
      <c r="F94" s="58">
        <v>21</v>
      </c>
      <c r="G94" s="58">
        <v>10</v>
      </c>
      <c r="H94" s="59">
        <f t="shared" si="14"/>
        <v>3.4636139999999996E-2</v>
      </c>
      <c r="I94" s="3">
        <f t="shared" si="15"/>
        <v>6.2974799999999984E-2</v>
      </c>
      <c r="J94" s="59">
        <f>(0.108337266+0.000046499*(F94^2*G94))</f>
        <v>0.31339785600000003</v>
      </c>
      <c r="K94" s="3">
        <f t="shared" si="16"/>
        <v>0.56981428363636366</v>
      </c>
      <c r="L94" s="3">
        <f t="shared" si="17"/>
        <v>1.8181818181818181</v>
      </c>
      <c r="M94" s="58"/>
      <c r="N94" s="58"/>
      <c r="O94" s="58"/>
    </row>
    <row r="95" spans="1:15" x14ac:dyDescent="0.25">
      <c r="A95" s="58">
        <v>10</v>
      </c>
      <c r="B95" s="58">
        <v>1</v>
      </c>
      <c r="C95" s="58" t="s">
        <v>59</v>
      </c>
      <c r="D95" s="58" t="s">
        <v>58</v>
      </c>
      <c r="E95" s="58" t="s">
        <v>52</v>
      </c>
      <c r="F95" s="58">
        <v>12</v>
      </c>
      <c r="G95" s="58">
        <v>8</v>
      </c>
      <c r="H95" s="59">
        <f t="shared" si="14"/>
        <v>1.130976E-2</v>
      </c>
      <c r="I95" s="3">
        <f t="shared" si="15"/>
        <v>2.05632E-2</v>
      </c>
      <c r="J95" s="59">
        <f>(0.0050811768+0.0000286052*(F95^2*G95))</f>
        <v>3.8034367200000002E-2</v>
      </c>
      <c r="K95" s="3">
        <f t="shared" si="16"/>
        <v>6.9153394909090907E-2</v>
      </c>
      <c r="L95" s="3">
        <f t="shared" si="17"/>
        <v>1.8181818181818181</v>
      </c>
      <c r="M95" s="58"/>
      <c r="N95" s="58"/>
      <c r="O95" s="58"/>
    </row>
    <row r="96" spans="1:15" x14ac:dyDescent="0.25">
      <c r="A96" s="58">
        <v>10</v>
      </c>
      <c r="B96" s="58">
        <v>2</v>
      </c>
      <c r="C96" s="58" t="s">
        <v>63</v>
      </c>
      <c r="D96" s="58" t="s">
        <v>62</v>
      </c>
      <c r="E96" s="58" t="s">
        <v>65</v>
      </c>
      <c r="F96" s="58">
        <v>43</v>
      </c>
      <c r="G96" s="58">
        <v>17</v>
      </c>
      <c r="H96" s="59">
        <f t="shared" si="14"/>
        <v>0.14522046</v>
      </c>
      <c r="I96" s="3">
        <f t="shared" si="15"/>
        <v>0.26403719999999997</v>
      </c>
      <c r="J96" s="59">
        <f>(0.0134651922+0.0000289134*(F96^2*G96))</f>
        <v>0.92230009439999994</v>
      </c>
      <c r="K96" s="3">
        <f t="shared" si="16"/>
        <v>1.6769092625454542</v>
      </c>
      <c r="L96" s="3">
        <f t="shared" si="17"/>
        <v>1.8181818181818181</v>
      </c>
      <c r="M96" s="58"/>
      <c r="N96" s="58"/>
      <c r="O96" s="58"/>
    </row>
    <row r="97" spans="1:15" x14ac:dyDescent="0.25">
      <c r="A97" s="58">
        <v>10</v>
      </c>
      <c r="B97" s="58">
        <v>3</v>
      </c>
      <c r="C97" s="58" t="s">
        <v>60</v>
      </c>
      <c r="D97" s="73" t="s">
        <v>71</v>
      </c>
      <c r="E97" s="58" t="s">
        <v>52</v>
      </c>
      <c r="F97" s="58">
        <v>19</v>
      </c>
      <c r="G97" s="58">
        <v>12</v>
      </c>
      <c r="H97" s="59">
        <f t="shared" si="14"/>
        <v>2.835294E-2</v>
      </c>
      <c r="I97" s="3">
        <f t="shared" si="15"/>
        <v>5.1550799999999994E-2</v>
      </c>
      <c r="J97" s="59">
        <f>(0.108337266+0.000046499*(F97^2*G97))</f>
        <v>0.309770934</v>
      </c>
      <c r="K97" s="3">
        <f t="shared" si="16"/>
        <v>0.5632198799999999</v>
      </c>
      <c r="L97" s="3">
        <f t="shared" si="17"/>
        <v>1.8181818181818181</v>
      </c>
      <c r="M97" s="58"/>
      <c r="N97" s="58"/>
      <c r="O97" s="58"/>
    </row>
    <row r="98" spans="1:15" x14ac:dyDescent="0.25">
      <c r="A98" s="58">
        <v>10</v>
      </c>
      <c r="B98" s="58">
        <v>4</v>
      </c>
      <c r="C98" s="58" t="s">
        <v>59</v>
      </c>
      <c r="D98" s="58" t="s">
        <v>58</v>
      </c>
      <c r="E98" s="58" t="s">
        <v>53</v>
      </c>
      <c r="F98" s="58">
        <v>20</v>
      </c>
      <c r="G98" s="58">
        <v>13</v>
      </c>
      <c r="H98" s="59">
        <f t="shared" si="14"/>
        <v>3.1416000000000006E-2</v>
      </c>
      <c r="I98" s="3">
        <f t="shared" si="15"/>
        <v>5.7120000000000004E-2</v>
      </c>
      <c r="J98" s="59">
        <f t="shared" ref="J98:J99" si="22">(0.0050811768+0.0000286052*(F98^2*G98))</f>
        <v>0.1538282168</v>
      </c>
      <c r="K98" s="3">
        <f t="shared" si="16"/>
        <v>0.27968766690909092</v>
      </c>
      <c r="L98" s="3">
        <f t="shared" si="17"/>
        <v>1.8181818181818181</v>
      </c>
      <c r="M98" s="58"/>
      <c r="N98" s="58"/>
      <c r="O98" s="58"/>
    </row>
    <row r="99" spans="1:15" x14ac:dyDescent="0.25">
      <c r="A99" s="58">
        <v>10</v>
      </c>
      <c r="B99" s="58">
        <v>5</v>
      </c>
      <c r="C99" s="58" t="s">
        <v>59</v>
      </c>
      <c r="D99" s="58" t="s">
        <v>58</v>
      </c>
      <c r="E99" s="58" t="s">
        <v>64</v>
      </c>
      <c r="F99" s="58">
        <v>30</v>
      </c>
      <c r="G99" s="58">
        <v>18</v>
      </c>
      <c r="H99" s="59">
        <f t="shared" si="14"/>
        <v>7.0685999999999999E-2</v>
      </c>
      <c r="I99" s="3">
        <f t="shared" si="15"/>
        <v>0.12852</v>
      </c>
      <c r="J99" s="59">
        <f t="shared" si="22"/>
        <v>0.46848541679999994</v>
      </c>
      <c r="K99" s="3">
        <f t="shared" si="16"/>
        <v>0.85179166690909069</v>
      </c>
      <c r="L99" s="3">
        <f t="shared" si="17"/>
        <v>1.8181818181818181</v>
      </c>
      <c r="M99" s="58"/>
      <c r="N99" s="58"/>
      <c r="O99" s="58"/>
    </row>
    <row r="100" spans="1:15" x14ac:dyDescent="0.25">
      <c r="A100" s="58">
        <v>10</v>
      </c>
      <c r="B100" s="58">
        <v>6</v>
      </c>
      <c r="C100" s="58" t="s">
        <v>60</v>
      </c>
      <c r="D100" s="73" t="s">
        <v>71</v>
      </c>
      <c r="E100" s="58" t="s">
        <v>53</v>
      </c>
      <c r="F100" s="58">
        <v>21</v>
      </c>
      <c r="G100" s="58">
        <v>15</v>
      </c>
      <c r="H100" s="59">
        <f t="shared" si="14"/>
        <v>3.4636139999999996E-2</v>
      </c>
      <c r="I100" s="3">
        <f t="shared" si="15"/>
        <v>6.2974799999999984E-2</v>
      </c>
      <c r="J100" s="59">
        <f t="shared" ref="J100:J101" si="23">(0.108337266+0.000046499*(F100^2*G100))</f>
        <v>0.41592815100000002</v>
      </c>
      <c r="K100" s="3">
        <f t="shared" si="16"/>
        <v>0.75623300181818176</v>
      </c>
      <c r="L100" s="3">
        <f t="shared" si="17"/>
        <v>1.8181818181818181</v>
      </c>
      <c r="M100" s="58"/>
      <c r="N100" s="58"/>
      <c r="O100" s="58"/>
    </row>
    <row r="101" spans="1:15" x14ac:dyDescent="0.25">
      <c r="A101" s="58">
        <v>10</v>
      </c>
      <c r="B101" s="58">
        <v>7</v>
      </c>
      <c r="C101" s="58" t="s">
        <v>54</v>
      </c>
      <c r="D101" s="58" t="s">
        <v>55</v>
      </c>
      <c r="E101" s="58" t="s">
        <v>52</v>
      </c>
      <c r="F101" s="58">
        <v>15</v>
      </c>
      <c r="G101" s="58">
        <v>10</v>
      </c>
      <c r="H101" s="59">
        <f t="shared" si="14"/>
        <v>1.76715E-2</v>
      </c>
      <c r="I101" s="3">
        <f t="shared" si="15"/>
        <v>3.2129999999999999E-2</v>
      </c>
      <c r="J101" s="59">
        <f t="shared" si="23"/>
        <v>0.212960016</v>
      </c>
      <c r="K101" s="3">
        <f t="shared" si="16"/>
        <v>0.38720002909090906</v>
      </c>
      <c r="L101" s="3">
        <f t="shared" si="17"/>
        <v>1.8181818181818181</v>
      </c>
      <c r="M101" s="58"/>
      <c r="N101" s="58"/>
      <c r="O101" s="58"/>
    </row>
    <row r="102" spans="1:15" x14ac:dyDescent="0.25">
      <c r="A102" s="58">
        <v>10</v>
      </c>
      <c r="B102" s="58">
        <v>8</v>
      </c>
      <c r="C102" s="58" t="s">
        <v>59</v>
      </c>
      <c r="D102" s="58" t="s">
        <v>58</v>
      </c>
      <c r="E102" s="58" t="s">
        <v>52</v>
      </c>
      <c r="F102" s="58">
        <v>19</v>
      </c>
      <c r="G102" s="58">
        <v>12</v>
      </c>
      <c r="H102" s="59">
        <f t="shared" si="14"/>
        <v>2.835294E-2</v>
      </c>
      <c r="I102" s="3">
        <f t="shared" si="15"/>
        <v>5.1550799999999994E-2</v>
      </c>
      <c r="J102" s="59">
        <f t="shared" ref="J102:J104" si="24">(0.0050811768+0.0000286052*(F102^2*G102))</f>
        <v>0.12899890319999999</v>
      </c>
      <c r="K102" s="3">
        <f t="shared" si="16"/>
        <v>0.23454346036363632</v>
      </c>
      <c r="L102" s="3">
        <f t="shared" si="17"/>
        <v>1.8181818181818181</v>
      </c>
      <c r="M102" s="58"/>
      <c r="N102" s="58"/>
      <c r="O102" s="58"/>
    </row>
    <row r="103" spans="1:15" x14ac:dyDescent="0.25">
      <c r="A103" s="58">
        <v>11</v>
      </c>
      <c r="B103" s="58">
        <v>1</v>
      </c>
      <c r="C103" s="58" t="s">
        <v>59</v>
      </c>
      <c r="D103" s="58" t="s">
        <v>58</v>
      </c>
      <c r="E103" s="58" t="s">
        <v>67</v>
      </c>
      <c r="F103" s="58">
        <v>65</v>
      </c>
      <c r="G103" s="58">
        <v>18</v>
      </c>
      <c r="H103" s="59">
        <f t="shared" si="14"/>
        <v>0.3318315</v>
      </c>
      <c r="I103" s="3">
        <f t="shared" si="15"/>
        <v>0.60332999999999992</v>
      </c>
      <c r="J103" s="59">
        <f t="shared" si="24"/>
        <v>2.1805066368000001</v>
      </c>
      <c r="K103" s="3">
        <f t="shared" si="16"/>
        <v>3.9645575214545454</v>
      </c>
      <c r="L103" s="3">
        <f t="shared" si="17"/>
        <v>1.8181818181818181</v>
      </c>
      <c r="M103" s="58"/>
      <c r="N103" s="58"/>
      <c r="O103" s="58"/>
    </row>
    <row r="104" spans="1:15" x14ac:dyDescent="0.25">
      <c r="A104" s="58">
        <v>11</v>
      </c>
      <c r="B104" s="58">
        <v>2</v>
      </c>
      <c r="C104" s="58" t="s">
        <v>59</v>
      </c>
      <c r="D104" s="58" t="s">
        <v>58</v>
      </c>
      <c r="E104" s="58" t="s">
        <v>66</v>
      </c>
      <c r="F104" s="58">
        <v>58</v>
      </c>
      <c r="G104" s="58">
        <v>17</v>
      </c>
      <c r="H104" s="59">
        <f t="shared" si="14"/>
        <v>0.26420855999999998</v>
      </c>
      <c r="I104" s="3">
        <f t="shared" si="15"/>
        <v>0.48037919999999995</v>
      </c>
      <c r="J104" s="59">
        <f t="shared" si="24"/>
        <v>1.6409553544</v>
      </c>
      <c r="K104" s="3">
        <f t="shared" si="16"/>
        <v>2.9835551898181816</v>
      </c>
      <c r="L104" s="3">
        <f t="shared" si="17"/>
        <v>1.8181818181818181</v>
      </c>
      <c r="M104" s="58"/>
      <c r="N104" s="58"/>
      <c r="O104" s="58"/>
    </row>
    <row r="105" spans="1:15" x14ac:dyDescent="0.25">
      <c r="A105" s="58">
        <v>11</v>
      </c>
      <c r="B105" s="58">
        <v>3</v>
      </c>
      <c r="C105" s="58" t="s">
        <v>60</v>
      </c>
      <c r="D105" s="73" t="s">
        <v>71</v>
      </c>
      <c r="E105" s="58" t="s">
        <v>53</v>
      </c>
      <c r="F105" s="58">
        <v>23</v>
      </c>
      <c r="G105" s="58">
        <v>13</v>
      </c>
      <c r="H105" s="59">
        <f t="shared" si="14"/>
        <v>4.154766E-2</v>
      </c>
      <c r="I105" s="3">
        <f t="shared" si="15"/>
        <v>7.5541199999999989E-2</v>
      </c>
      <c r="J105" s="59">
        <f>(0.108337266+0.000046499*(F105^2*G105))</f>
        <v>0.42811088899999999</v>
      </c>
      <c r="K105" s="3">
        <f t="shared" si="16"/>
        <v>0.77838343454545444</v>
      </c>
      <c r="L105" s="3">
        <f t="shared" si="17"/>
        <v>1.8181818181818181</v>
      </c>
      <c r="M105" s="58"/>
      <c r="N105" s="58"/>
      <c r="O105" s="58"/>
    </row>
    <row r="106" spans="1:15" x14ac:dyDescent="0.25">
      <c r="A106" s="58">
        <v>11</v>
      </c>
      <c r="B106" s="58">
        <v>4</v>
      </c>
      <c r="C106" s="58" t="s">
        <v>59</v>
      </c>
      <c r="D106" s="58" t="s">
        <v>58</v>
      </c>
      <c r="E106" s="58" t="s">
        <v>66</v>
      </c>
      <c r="F106" s="58">
        <v>52</v>
      </c>
      <c r="G106" s="58">
        <v>17</v>
      </c>
      <c r="H106" s="59">
        <f t="shared" si="14"/>
        <v>0.21237216000000003</v>
      </c>
      <c r="I106" s="3">
        <f t="shared" si="15"/>
        <v>0.38613120000000001</v>
      </c>
      <c r="J106" s="59">
        <f t="shared" ref="J106:J108" si="25">(0.0050811768+0.0000286052*(F106^2*G106))</f>
        <v>1.3200050104000001</v>
      </c>
      <c r="K106" s="3">
        <f t="shared" si="16"/>
        <v>2.4000091098181819</v>
      </c>
      <c r="L106" s="3">
        <f t="shared" si="17"/>
        <v>1.8181818181818181</v>
      </c>
      <c r="M106" s="58"/>
      <c r="N106" s="58"/>
      <c r="O106" s="58"/>
    </row>
    <row r="107" spans="1:15" x14ac:dyDescent="0.25">
      <c r="A107" s="58">
        <v>11</v>
      </c>
      <c r="B107" s="58">
        <v>5</v>
      </c>
      <c r="C107" s="58" t="s">
        <v>59</v>
      </c>
      <c r="D107" s="58" t="s">
        <v>58</v>
      </c>
      <c r="E107" s="58" t="s">
        <v>52</v>
      </c>
      <c r="F107" s="58">
        <v>17</v>
      </c>
      <c r="G107" s="58">
        <v>10</v>
      </c>
      <c r="H107" s="59">
        <f t="shared" si="14"/>
        <v>2.2698060000000003E-2</v>
      </c>
      <c r="I107" s="3">
        <f t="shared" si="15"/>
        <v>4.1269199999999999E-2</v>
      </c>
      <c r="J107" s="59">
        <f t="shared" si="25"/>
        <v>8.7750204799999995E-2</v>
      </c>
      <c r="K107" s="3">
        <f t="shared" si="16"/>
        <v>0.15954582690909089</v>
      </c>
      <c r="L107" s="3">
        <f t="shared" si="17"/>
        <v>1.8181818181818181</v>
      </c>
      <c r="M107" s="58"/>
      <c r="N107" s="58"/>
      <c r="O107" s="58"/>
    </row>
    <row r="108" spans="1:15" x14ac:dyDescent="0.25">
      <c r="A108" s="58">
        <v>11</v>
      </c>
      <c r="B108" s="58">
        <v>6</v>
      </c>
      <c r="C108" s="58" t="s">
        <v>59</v>
      </c>
      <c r="D108" s="58" t="s">
        <v>58</v>
      </c>
      <c r="E108" s="58" t="s">
        <v>53</v>
      </c>
      <c r="F108" s="58">
        <v>25</v>
      </c>
      <c r="G108" s="58">
        <v>12</v>
      </c>
      <c r="H108" s="59">
        <f t="shared" si="14"/>
        <v>4.9087499999999999E-2</v>
      </c>
      <c r="I108" s="3">
        <f t="shared" si="15"/>
        <v>8.9249999999999996E-2</v>
      </c>
      <c r="J108" s="59">
        <f t="shared" si="25"/>
        <v>0.21962017679999998</v>
      </c>
      <c r="K108" s="3">
        <f t="shared" si="16"/>
        <v>0.39930941236363632</v>
      </c>
      <c r="L108" s="3">
        <f t="shared" si="17"/>
        <v>1.8181818181818181</v>
      </c>
      <c r="M108" s="58"/>
      <c r="N108" s="58"/>
      <c r="O108" s="58"/>
    </row>
    <row r="117" spans="7:7" x14ac:dyDescent="0.25">
      <c r="G117" s="1"/>
    </row>
    <row r="118" spans="7:7" x14ac:dyDescent="0.25">
      <c r="G118" s="1"/>
    </row>
    <row r="119" spans="7:7" x14ac:dyDescent="0.25">
      <c r="G119" s="1"/>
    </row>
    <row r="120" spans="7:7" x14ac:dyDescent="0.25">
      <c r="G120" s="1"/>
    </row>
    <row r="121" spans="7:7" x14ac:dyDescent="0.25">
      <c r="G121" s="1"/>
    </row>
    <row r="122" spans="7:7" x14ac:dyDescent="0.25">
      <c r="G122" s="1"/>
    </row>
    <row r="123" spans="7:7" x14ac:dyDescent="0.25">
      <c r="G123" s="1"/>
    </row>
    <row r="124" spans="7:7" x14ac:dyDescent="0.25">
      <c r="G124" s="1"/>
    </row>
    <row r="125" spans="7:7" x14ac:dyDescent="0.25">
      <c r="G125" s="1"/>
    </row>
    <row r="126" spans="7:7" x14ac:dyDescent="0.25">
      <c r="G126" s="1"/>
    </row>
    <row r="127" spans="7:7" x14ac:dyDescent="0.25">
      <c r="G127" s="1"/>
    </row>
    <row r="128" spans="7:7" x14ac:dyDescent="0.25">
      <c r="G128" s="1"/>
    </row>
  </sheetData>
  <autoFilter ref="A1:L108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8"/>
  <sheetViews>
    <sheetView workbookViewId="0">
      <selection activeCell="B25" sqref="B25"/>
    </sheetView>
  </sheetViews>
  <sheetFormatPr baseColWidth="10" defaultColWidth="11.42578125" defaultRowHeight="15" x14ac:dyDescent="0.25"/>
  <cols>
    <col min="1" max="1" width="20.28515625" customWidth="1"/>
    <col min="2" max="2" width="19" bestFit="1" customWidth="1"/>
    <col min="3" max="3" width="4.140625" bestFit="1" customWidth="1"/>
    <col min="4" max="4" width="21.7109375" customWidth="1"/>
    <col min="5" max="5" width="31.85546875" customWidth="1"/>
    <col min="7" max="7" width="14" customWidth="1"/>
  </cols>
  <sheetData>
    <row r="3" spans="1:11" x14ac:dyDescent="0.25">
      <c r="A3" s="4" t="s">
        <v>12</v>
      </c>
      <c r="B3" t="s">
        <v>14</v>
      </c>
    </row>
    <row r="4" spans="1:11" x14ac:dyDescent="0.25">
      <c r="A4" s="5" t="s">
        <v>55</v>
      </c>
      <c r="B4" s="7">
        <v>4</v>
      </c>
    </row>
    <row r="5" spans="1:11" x14ac:dyDescent="0.25">
      <c r="A5" s="6" t="s">
        <v>54</v>
      </c>
      <c r="B5" s="7">
        <v>4</v>
      </c>
    </row>
    <row r="6" spans="1:11" x14ac:dyDescent="0.25">
      <c r="A6" s="5" t="s">
        <v>58</v>
      </c>
      <c r="B6" s="7">
        <v>63</v>
      </c>
    </row>
    <row r="7" spans="1:11" x14ac:dyDescent="0.25">
      <c r="A7" s="6" t="s">
        <v>59</v>
      </c>
      <c r="B7" s="7">
        <v>63</v>
      </c>
    </row>
    <row r="8" spans="1:11" x14ac:dyDescent="0.25">
      <c r="A8" s="5" t="s">
        <v>61</v>
      </c>
      <c r="B8" s="7">
        <v>24</v>
      </c>
    </row>
    <row r="9" spans="1:11" x14ac:dyDescent="0.25">
      <c r="A9" s="6" t="s">
        <v>60</v>
      </c>
      <c r="B9" s="7">
        <v>24</v>
      </c>
    </row>
    <row r="10" spans="1:11" x14ac:dyDescent="0.25">
      <c r="A10" s="5" t="s">
        <v>62</v>
      </c>
      <c r="B10" s="7">
        <v>16</v>
      </c>
      <c r="K10">
        <f>0.15*100/1.34</f>
        <v>11.194029850746269</v>
      </c>
    </row>
    <row r="11" spans="1:11" x14ac:dyDescent="0.25">
      <c r="A11" s="6" t="s">
        <v>63</v>
      </c>
      <c r="B11" s="7">
        <v>16</v>
      </c>
    </row>
    <row r="12" spans="1:11" x14ac:dyDescent="0.25">
      <c r="A12" s="5" t="s">
        <v>13</v>
      </c>
      <c r="B12" s="7">
        <v>107</v>
      </c>
    </row>
    <row r="13" spans="1:11" ht="30" customHeight="1" x14ac:dyDescent="0.25">
      <c r="C13" s="20" t="s">
        <v>21</v>
      </c>
      <c r="D13" s="21" t="s">
        <v>22</v>
      </c>
      <c r="E13" s="21" t="s">
        <v>23</v>
      </c>
      <c r="F13" s="21" t="s">
        <v>24</v>
      </c>
      <c r="G13" s="22" t="s">
        <v>25</v>
      </c>
    </row>
    <row r="14" spans="1:11" x14ac:dyDescent="0.25">
      <c r="C14" s="9">
        <v>1</v>
      </c>
      <c r="D14" s="9" t="str">
        <f>A5</f>
        <v>Aliso</v>
      </c>
      <c r="E14" s="10" t="str">
        <f>A4</f>
        <v>Alnus sp.</v>
      </c>
      <c r="F14" s="11">
        <f>GETPIVOTDATA("No. Arbol",$A$3,"Especie","Alnus sp.")</f>
        <v>4</v>
      </c>
      <c r="G14" s="12">
        <f>F14/F18*100</f>
        <v>3.7383177570093453</v>
      </c>
    </row>
    <row r="15" spans="1:11" s="1" customFormat="1" x14ac:dyDescent="0.25">
      <c r="C15" s="9">
        <v>2</v>
      </c>
      <c r="D15" s="9" t="str">
        <f>A7</f>
        <v xml:space="preserve">Pino triste </v>
      </c>
      <c r="E15" s="10" t="str">
        <f>A6</f>
        <v>Pinus psudostrobus</v>
      </c>
      <c r="F15" s="11">
        <f>GETPIVOTDATA("No. Arbol",$A$3,"Especie","Pinus psudostrobus")</f>
        <v>63</v>
      </c>
      <c r="G15" s="12">
        <f>F15/F18*100</f>
        <v>58.878504672897193</v>
      </c>
    </row>
    <row r="16" spans="1:11" s="1" customFormat="1" x14ac:dyDescent="0.25">
      <c r="C16" s="9">
        <v>3</v>
      </c>
      <c r="D16" s="9" t="str">
        <f>A9</f>
        <v>Chulube</v>
      </c>
      <c r="E16" s="10" t="str">
        <f>A8</f>
        <v>N.D</v>
      </c>
      <c r="F16" s="11">
        <f>GETPIVOTDATA("No. Arbol",$A$3,"Especie","N.D")</f>
        <v>24</v>
      </c>
      <c r="G16" s="12">
        <f>F16/F18*100</f>
        <v>22.429906542056074</v>
      </c>
    </row>
    <row r="17" spans="3:7" x14ac:dyDescent="0.25">
      <c r="C17" s="9">
        <v>4</v>
      </c>
      <c r="D17" s="9" t="str">
        <f>A11</f>
        <v>Ciprés</v>
      </c>
      <c r="E17" s="10" t="str">
        <f>A10</f>
        <v>Cupresus lusitanica</v>
      </c>
      <c r="F17" s="11">
        <f>GETPIVOTDATA("No. Arbol",$A$3,"Especie","Cupresus lusitanica")</f>
        <v>16</v>
      </c>
      <c r="G17" s="12">
        <f>F17/F18*100</f>
        <v>14.953271028037381</v>
      </c>
    </row>
    <row r="18" spans="3:7" x14ac:dyDescent="0.25">
      <c r="C18" s="80" t="s">
        <v>26</v>
      </c>
      <c r="D18" s="80"/>
      <c r="E18" s="80"/>
      <c r="F18" s="23">
        <f>SUM(F14:F17)</f>
        <v>107</v>
      </c>
      <c r="G18" s="24">
        <f>F18/F18*100</f>
        <v>100</v>
      </c>
    </row>
  </sheetData>
  <mergeCells count="1">
    <mergeCell ref="C18:E18"/>
  </mergeCell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8"/>
  <sheetViews>
    <sheetView topLeftCell="B1" workbookViewId="0">
      <selection activeCell="H14" sqref="H14"/>
    </sheetView>
  </sheetViews>
  <sheetFormatPr baseColWidth="10" defaultColWidth="11.42578125" defaultRowHeight="15" x14ac:dyDescent="0.25"/>
  <cols>
    <col min="1" max="1" width="18.42578125" customWidth="1"/>
    <col min="2" max="3" width="21.28515625" customWidth="1"/>
    <col min="4" max="4" width="22.140625" customWidth="1"/>
    <col min="5" max="5" width="15.140625" customWidth="1"/>
    <col min="6" max="6" width="21" customWidth="1"/>
    <col min="7" max="7" width="10.42578125" customWidth="1"/>
    <col min="8" max="8" width="10.28515625" customWidth="1"/>
    <col min="9" max="9" width="7.85546875" customWidth="1"/>
    <col min="10" max="10" width="8.85546875" customWidth="1"/>
  </cols>
  <sheetData>
    <row r="3" spans="1:12" x14ac:dyDescent="0.25">
      <c r="B3" s="4" t="s">
        <v>16</v>
      </c>
    </row>
    <row r="4" spans="1:12" x14ac:dyDescent="0.25">
      <c r="A4" s="4" t="s">
        <v>12</v>
      </c>
      <c r="B4" s="1" t="s">
        <v>15</v>
      </c>
      <c r="C4" s="1" t="s">
        <v>17</v>
      </c>
      <c r="D4" s="1" t="s">
        <v>18</v>
      </c>
      <c r="E4" s="1" t="s">
        <v>19</v>
      </c>
      <c r="F4" s="1" t="s">
        <v>20</v>
      </c>
    </row>
    <row r="5" spans="1:12" x14ac:dyDescent="0.25">
      <c r="A5" s="5" t="s">
        <v>55</v>
      </c>
      <c r="B5" s="8">
        <v>7.2727272727272725</v>
      </c>
      <c r="C5" s="2">
        <v>14.25</v>
      </c>
      <c r="D5" s="2">
        <v>9.5</v>
      </c>
      <c r="E5" s="2">
        <v>0.12152279999999999</v>
      </c>
      <c r="F5" s="2">
        <v>1.5255506163636363</v>
      </c>
    </row>
    <row r="6" spans="1:12" x14ac:dyDescent="0.25">
      <c r="A6" s="5" t="s">
        <v>58</v>
      </c>
      <c r="B6" s="8">
        <v>114.54545454545442</v>
      </c>
      <c r="C6" s="2">
        <v>27.69047619047619</v>
      </c>
      <c r="D6" s="2">
        <v>14.079365079365079</v>
      </c>
      <c r="E6" s="2">
        <v>8.3961044999999999</v>
      </c>
      <c r="F6" s="2">
        <v>49.600442525454547</v>
      </c>
    </row>
    <row r="7" spans="1:12" x14ac:dyDescent="0.25">
      <c r="A7" s="5" t="s">
        <v>61</v>
      </c>
      <c r="B7" s="8">
        <v>43.636363636363633</v>
      </c>
      <c r="C7" s="2">
        <v>19.708333333333332</v>
      </c>
      <c r="D7" s="2">
        <v>10.166666666666666</v>
      </c>
      <c r="E7" s="2">
        <v>1.7248812</v>
      </c>
      <c r="F7" s="2">
        <v>18.395444938181814</v>
      </c>
      <c r="L7">
        <f>2013-1977</f>
        <v>36</v>
      </c>
    </row>
    <row r="8" spans="1:12" x14ac:dyDescent="0.25">
      <c r="A8" s="5" t="s">
        <v>62</v>
      </c>
      <c r="B8" s="8">
        <v>29.090909090909079</v>
      </c>
      <c r="C8" s="2">
        <v>30.3125</v>
      </c>
      <c r="D8" s="2">
        <v>16.75</v>
      </c>
      <c r="E8" s="2">
        <v>2.2203971999999998</v>
      </c>
      <c r="F8" s="2">
        <v>14.278978411636363</v>
      </c>
    </row>
    <row r="9" spans="1:12" x14ac:dyDescent="0.25">
      <c r="A9" s="5" t="s">
        <v>13</v>
      </c>
      <c r="B9" s="8">
        <v>194.54545454545419</v>
      </c>
      <c r="C9" s="2">
        <v>25.789719626168225</v>
      </c>
      <c r="D9" s="2">
        <v>13.429906542056075</v>
      </c>
      <c r="E9" s="2">
        <v>12.462905699999991</v>
      </c>
      <c r="F9" s="2">
        <v>83.800416491636369</v>
      </c>
    </row>
    <row r="12" spans="1:12" x14ac:dyDescent="0.25">
      <c r="B12" s="85" t="s">
        <v>27</v>
      </c>
      <c r="C12" s="85" t="s">
        <v>28</v>
      </c>
      <c r="D12" s="82" t="s">
        <v>3</v>
      </c>
      <c r="E12" s="81" t="s">
        <v>15</v>
      </c>
      <c r="F12" s="81" t="s">
        <v>17</v>
      </c>
      <c r="G12" s="81" t="s">
        <v>18</v>
      </c>
      <c r="H12" s="81" t="s">
        <v>19</v>
      </c>
      <c r="I12" s="82" t="s">
        <v>29</v>
      </c>
      <c r="J12" s="82"/>
    </row>
    <row r="13" spans="1:12" x14ac:dyDescent="0.25">
      <c r="B13" s="85"/>
      <c r="C13" s="85"/>
      <c r="D13" s="82"/>
      <c r="E13" s="81"/>
      <c r="F13" s="81"/>
      <c r="G13" s="81"/>
      <c r="H13" s="81"/>
      <c r="I13" s="19" t="s">
        <v>30</v>
      </c>
      <c r="J13" s="19" t="s">
        <v>27</v>
      </c>
    </row>
    <row r="14" spans="1:12" x14ac:dyDescent="0.25">
      <c r="B14" s="83">
        <v>1</v>
      </c>
      <c r="C14" s="84">
        <v>5.2</v>
      </c>
      <c r="D14" s="13" t="s">
        <v>55</v>
      </c>
      <c r="E14" s="16">
        <v>7.2727272727272725</v>
      </c>
      <c r="F14" s="14">
        <f>GETPIVOTDATA("Promedio de DAP (cm)",$A$3,"Especie","Alnus sp.")</f>
        <v>14.25</v>
      </c>
      <c r="G14" s="14">
        <v>8.5</v>
      </c>
      <c r="H14" s="14">
        <v>0.1215228</v>
      </c>
      <c r="I14" s="14">
        <f>GETPIVOTDATA("Suma de Volumen/Ha.",$A$3,"Especie","Alnus sp.")</f>
        <v>1.5255506163636363</v>
      </c>
      <c r="J14" s="55">
        <f>I14*C14</f>
        <v>7.9328632050909089</v>
      </c>
    </row>
    <row r="15" spans="1:12" s="1" customFormat="1" x14ac:dyDescent="0.25">
      <c r="B15" s="83"/>
      <c r="C15" s="84"/>
      <c r="D15" s="13" t="s">
        <v>58</v>
      </c>
      <c r="E15" s="16">
        <v>114.54545454545442</v>
      </c>
      <c r="F15" s="14">
        <f>GETPIVOTDATA("Promedio de DAP (cm)",$A$3,"Especie","Pinus psudostrobus")</f>
        <v>27.69047619047619</v>
      </c>
      <c r="G15" s="14">
        <f>GETPIVOTDATA("Promedio de Altura (m)",$A$3,"Especie","Pinus psudostrobus")</f>
        <v>14.079365079365079</v>
      </c>
      <c r="H15" s="14">
        <f>GETPIVOTDATA("Suma de AB/Ha.",$A$3,"Especie","Pinus psudostrobus")</f>
        <v>8.3961044999999999</v>
      </c>
      <c r="I15" s="14">
        <f>GETPIVOTDATA("Suma de Volumen/Ha.",$A$3,"Especie","Pinus psudostrobus")</f>
        <v>49.600442525454547</v>
      </c>
      <c r="J15" s="55">
        <f>I15*C14</f>
        <v>257.92230113236366</v>
      </c>
    </row>
    <row r="16" spans="1:12" s="1" customFormat="1" x14ac:dyDescent="0.25">
      <c r="B16" s="83"/>
      <c r="C16" s="84"/>
      <c r="D16" s="13" t="s">
        <v>61</v>
      </c>
      <c r="E16" s="16">
        <v>43.636363636363633</v>
      </c>
      <c r="F16" s="14">
        <f>GETPIVOTDATA("Promedio de DAP (cm)",$A$3,"Especie","N.D")</f>
        <v>19.708333333333332</v>
      </c>
      <c r="G16" s="14">
        <v>10.166666666666666</v>
      </c>
      <c r="H16" s="14">
        <f>GETPIVOTDATA("Suma de AB/Ha.",$A$3,"Especie","N.D")</f>
        <v>1.7248812</v>
      </c>
      <c r="I16" s="14">
        <f>GETPIVOTDATA("Suma de Volumen/Ha.",$A$3,"Especie","N.D")</f>
        <v>18.395444938181814</v>
      </c>
      <c r="J16" s="55">
        <f>I16*C14</f>
        <v>95.656313678545445</v>
      </c>
    </row>
    <row r="17" spans="2:10" x14ac:dyDescent="0.25">
      <c r="B17" s="83"/>
      <c r="C17" s="84"/>
      <c r="D17" s="13" t="s">
        <v>62</v>
      </c>
      <c r="E17" s="16">
        <v>29.090909090909079</v>
      </c>
      <c r="F17" s="14">
        <f>GETPIVOTDATA("Promedio de DAP (cm)",$A$3,"Especie","Cupresus lusitanica")</f>
        <v>30.3125</v>
      </c>
      <c r="G17" s="14">
        <f>GETPIVOTDATA("Promedio de Altura (m)",$A$3,"Especie","Cupresus lusitanica")</f>
        <v>16.75</v>
      </c>
      <c r="H17" s="14">
        <f>GETPIVOTDATA("Suma de AB/Ha.",$A$3,"Especie","Cupresus lusitanica")</f>
        <v>2.2203971999999998</v>
      </c>
      <c r="I17" s="14">
        <f>GETPIVOTDATA("Suma de Volumen/Ha.",$A$3,"Especie","Cupresus lusitanica")</f>
        <v>14.278978411636363</v>
      </c>
      <c r="J17" s="55">
        <f>I17*C14</f>
        <v>74.250687740509093</v>
      </c>
    </row>
    <row r="18" spans="2:10" x14ac:dyDescent="0.25">
      <c r="B18" s="83"/>
      <c r="C18" s="84"/>
      <c r="D18" s="17" t="s">
        <v>13</v>
      </c>
      <c r="E18" s="18">
        <f>SUM(E14:E17)</f>
        <v>194.54545454545439</v>
      </c>
      <c r="F18" s="70">
        <f>GETPIVOTDATA("Promedio de DAP (cm)",$A$3)</f>
        <v>25.789719626168225</v>
      </c>
      <c r="G18" s="70">
        <f>GETPIVOTDATA("Promedio de Altura (m)",$A$3)</f>
        <v>13.429906542056075</v>
      </c>
      <c r="H18" s="70">
        <f>GETPIVOTDATA("Suma de AB/Ha.",$A$3)</f>
        <v>12.462905699999991</v>
      </c>
      <c r="I18" s="70">
        <f>GETPIVOTDATA("Suma de Volumen/Ha.",$A$3)</f>
        <v>83.800416491636369</v>
      </c>
      <c r="J18" s="70">
        <f>I18*C14</f>
        <v>435.76216575650915</v>
      </c>
    </row>
  </sheetData>
  <mergeCells count="10">
    <mergeCell ref="H12:H13"/>
    <mergeCell ref="I12:J12"/>
    <mergeCell ref="B14:B18"/>
    <mergeCell ref="C14:C18"/>
    <mergeCell ref="B12:B13"/>
    <mergeCell ref="C12:C13"/>
    <mergeCell ref="D12:D13"/>
    <mergeCell ref="E12:E13"/>
    <mergeCell ref="F12:F13"/>
    <mergeCell ref="G12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B5" sqref="B5:G16"/>
    </sheetView>
  </sheetViews>
  <sheetFormatPr baseColWidth="10" defaultColWidth="11.42578125" defaultRowHeight="15" x14ac:dyDescent="0.25"/>
  <cols>
    <col min="1" max="1" width="18.42578125" bestFit="1" customWidth="1"/>
    <col min="2" max="2" width="13" bestFit="1" customWidth="1"/>
    <col min="3" max="4" width="12.42578125" bestFit="1" customWidth="1"/>
    <col min="5" max="5" width="8.5703125" bestFit="1" customWidth="1"/>
    <col min="6" max="6" width="12.85546875" bestFit="1" customWidth="1"/>
    <col min="7" max="7" width="10.42578125" customWidth="1"/>
  </cols>
  <sheetData>
    <row r="3" spans="1:9" x14ac:dyDescent="0.25">
      <c r="B3" s="4" t="s">
        <v>16</v>
      </c>
    </row>
    <row r="4" spans="1:9" ht="30" x14ac:dyDescent="0.25">
      <c r="A4" s="50" t="s">
        <v>32</v>
      </c>
      <c r="B4" s="30" t="s">
        <v>15</v>
      </c>
      <c r="C4" s="30" t="s">
        <v>17</v>
      </c>
      <c r="D4" s="30" t="s">
        <v>18</v>
      </c>
      <c r="E4" s="30" t="s">
        <v>19</v>
      </c>
      <c r="F4" s="50" t="s">
        <v>20</v>
      </c>
      <c r="G4" s="22" t="s">
        <v>31</v>
      </c>
    </row>
    <row r="5" spans="1:9" x14ac:dyDescent="0.25">
      <c r="A5" s="49">
        <v>1</v>
      </c>
      <c r="B5" s="27">
        <v>14.545454545454545</v>
      </c>
      <c r="C5" s="28">
        <v>24.3125</v>
      </c>
      <c r="D5" s="28">
        <v>15.625</v>
      </c>
      <c r="E5" s="28">
        <v>0.77943810000000002</v>
      </c>
      <c r="F5" s="48">
        <v>5.2011976338181807</v>
      </c>
      <c r="G5" s="29">
        <f>F5*5.2</f>
        <v>27.04622769585454</v>
      </c>
    </row>
    <row r="6" spans="1:9" x14ac:dyDescent="0.25">
      <c r="A6" s="49">
        <v>2</v>
      </c>
      <c r="B6" s="27">
        <v>23.63636363636363</v>
      </c>
      <c r="C6" s="28">
        <v>19.53846153846154</v>
      </c>
      <c r="D6" s="28">
        <v>11.076923076923077</v>
      </c>
      <c r="E6" s="28">
        <v>0.85365839999999993</v>
      </c>
      <c r="F6" s="48">
        <v>5.836923839999999</v>
      </c>
      <c r="G6" s="29">
        <f t="shared" ref="G6:G15" si="0">F6*5.2</f>
        <v>30.352003967999995</v>
      </c>
    </row>
    <row r="7" spans="1:9" x14ac:dyDescent="0.25">
      <c r="A7" s="49">
        <v>3</v>
      </c>
      <c r="B7" s="27">
        <v>21.818181818181813</v>
      </c>
      <c r="C7" s="28">
        <v>31.5</v>
      </c>
      <c r="D7" s="28">
        <v>14.5</v>
      </c>
      <c r="E7" s="28">
        <v>1.8866735999999997</v>
      </c>
      <c r="F7" s="48">
        <v>10.754076817454543</v>
      </c>
      <c r="G7" s="29">
        <f t="shared" si="0"/>
        <v>55.921199450763623</v>
      </c>
    </row>
    <row r="8" spans="1:9" x14ac:dyDescent="0.25">
      <c r="A8" s="49">
        <v>4</v>
      </c>
      <c r="B8" s="27">
        <v>23.63636363636363</v>
      </c>
      <c r="C8" s="28">
        <v>21.23076923076923</v>
      </c>
      <c r="D8" s="28">
        <v>12.692307692307692</v>
      </c>
      <c r="E8" s="28">
        <v>0.95733119999999983</v>
      </c>
      <c r="F8" s="48">
        <v>5.9380867218181814</v>
      </c>
      <c r="G8" s="29">
        <f t="shared" si="0"/>
        <v>30.878050953454544</v>
      </c>
    </row>
    <row r="9" spans="1:9" x14ac:dyDescent="0.25">
      <c r="A9" s="49">
        <v>5</v>
      </c>
      <c r="B9" s="27">
        <v>16.363636363636363</v>
      </c>
      <c r="C9" s="28">
        <v>30</v>
      </c>
      <c r="D9" s="28">
        <v>13.111111111111111</v>
      </c>
      <c r="E9" s="28">
        <v>1.3463183999999999</v>
      </c>
      <c r="F9" s="48">
        <v>10.324011586909091</v>
      </c>
      <c r="G9" s="29">
        <f t="shared" si="0"/>
        <v>53.684860251927276</v>
      </c>
    </row>
    <row r="10" spans="1:9" x14ac:dyDescent="0.25">
      <c r="A10" s="49">
        <v>6</v>
      </c>
      <c r="B10" s="27">
        <v>18.18181818181818</v>
      </c>
      <c r="C10" s="28">
        <v>25.1</v>
      </c>
      <c r="D10" s="28">
        <v>12.5</v>
      </c>
      <c r="E10" s="28">
        <v>1.1396868</v>
      </c>
      <c r="F10" s="48">
        <v>8.845313502181817</v>
      </c>
      <c r="G10" s="29">
        <f t="shared" si="0"/>
        <v>45.99563021134545</v>
      </c>
      <c r="I10" s="2"/>
    </row>
    <row r="11" spans="1:9" x14ac:dyDescent="0.25">
      <c r="A11" s="49">
        <v>7</v>
      </c>
      <c r="B11" s="27">
        <v>18.18181818181818</v>
      </c>
      <c r="C11" s="28">
        <v>24.9</v>
      </c>
      <c r="D11" s="28">
        <v>11.4</v>
      </c>
      <c r="E11" s="28">
        <v>1.2179411999999998</v>
      </c>
      <c r="F11" s="48">
        <v>7.9719601847272719</v>
      </c>
      <c r="G11" s="29">
        <f t="shared" si="0"/>
        <v>41.454192960581814</v>
      </c>
    </row>
    <row r="12" spans="1:9" x14ac:dyDescent="0.25">
      <c r="A12" s="49">
        <v>8</v>
      </c>
      <c r="B12" s="27">
        <v>10.909090909090908</v>
      </c>
      <c r="C12" s="28">
        <v>27.333333333333332</v>
      </c>
      <c r="D12" s="28">
        <v>18.666666666666668</v>
      </c>
      <c r="E12" s="28">
        <v>0.70000559999999989</v>
      </c>
      <c r="F12" s="48">
        <v>5.0926937396363625</v>
      </c>
      <c r="G12" s="29">
        <f t="shared" si="0"/>
        <v>26.482007446109087</v>
      </c>
    </row>
    <row r="13" spans="1:9" x14ac:dyDescent="0.25">
      <c r="A13" s="49">
        <v>9</v>
      </c>
      <c r="B13" s="27">
        <v>21.818181818181813</v>
      </c>
      <c r="C13" s="28">
        <v>25.333333333333332</v>
      </c>
      <c r="D13" s="28">
        <v>14</v>
      </c>
      <c r="E13" s="28">
        <v>1.2375047999999997</v>
      </c>
      <c r="F13" s="48">
        <v>8.3320536076363609</v>
      </c>
      <c r="G13" s="29">
        <f t="shared" si="0"/>
        <v>43.326678759709075</v>
      </c>
    </row>
    <row r="14" spans="1:9" x14ac:dyDescent="0.25">
      <c r="A14" s="49">
        <v>10</v>
      </c>
      <c r="B14" s="27">
        <v>14.545454545454545</v>
      </c>
      <c r="C14" s="28">
        <v>22.375</v>
      </c>
      <c r="D14" s="28">
        <v>13.125</v>
      </c>
      <c r="E14" s="28">
        <v>0.66844680000000001</v>
      </c>
      <c r="F14" s="48">
        <v>4.8187383625454547</v>
      </c>
      <c r="G14" s="29">
        <f t="shared" si="0"/>
        <v>25.057439485236365</v>
      </c>
    </row>
    <row r="15" spans="1:9" x14ac:dyDescent="0.25">
      <c r="A15" s="49">
        <v>11</v>
      </c>
      <c r="B15" s="27">
        <v>10.909090909090908</v>
      </c>
      <c r="C15" s="28">
        <v>40</v>
      </c>
      <c r="D15" s="28">
        <v>14.5</v>
      </c>
      <c r="E15" s="28">
        <v>1.6759007999999997</v>
      </c>
      <c r="F15" s="48">
        <v>10.685360494909091</v>
      </c>
      <c r="G15" s="29">
        <f t="shared" si="0"/>
        <v>55.563874573527272</v>
      </c>
    </row>
    <row r="16" spans="1:9" x14ac:dyDescent="0.25">
      <c r="A16" s="52" t="s">
        <v>13</v>
      </c>
      <c r="B16" s="31">
        <v>194.54545454545419</v>
      </c>
      <c r="C16" s="32">
        <v>25.789719626168225</v>
      </c>
      <c r="D16" s="32">
        <v>13.429906542056075</v>
      </c>
      <c r="E16" s="32">
        <v>12.462905699999997</v>
      </c>
      <c r="F16" s="51">
        <v>83.800416491636383</v>
      </c>
      <c r="G16" s="33">
        <f>GETPIVOTDATA("Suma de Volumen/Ha.",$A$3)*5.2</f>
        <v>435.76216575650921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workbookViewId="0">
      <selection activeCell="B5" sqref="B5:G25"/>
    </sheetView>
  </sheetViews>
  <sheetFormatPr baseColWidth="10" defaultColWidth="11.42578125" defaultRowHeight="15" x14ac:dyDescent="0.25"/>
  <cols>
    <col min="1" max="1" width="20.28515625" customWidth="1"/>
    <col min="2" max="4" width="12.42578125" bestFit="1" customWidth="1"/>
    <col min="5" max="5" width="8.5703125" bestFit="1" customWidth="1"/>
    <col min="6" max="6" width="12.85546875" bestFit="1" customWidth="1"/>
    <col min="7" max="7" width="10.42578125" customWidth="1"/>
  </cols>
  <sheetData>
    <row r="3" spans="1:8" x14ac:dyDescent="0.25">
      <c r="B3" s="4" t="s">
        <v>16</v>
      </c>
    </row>
    <row r="4" spans="1:8" ht="45" x14ac:dyDescent="0.25">
      <c r="A4" s="50" t="s">
        <v>34</v>
      </c>
      <c r="B4" s="30" t="s">
        <v>15</v>
      </c>
      <c r="C4" s="30" t="s">
        <v>17</v>
      </c>
      <c r="D4" s="30" t="s">
        <v>18</v>
      </c>
      <c r="E4" s="30" t="s">
        <v>19</v>
      </c>
      <c r="F4" s="50" t="s">
        <v>20</v>
      </c>
      <c r="G4" s="34" t="s">
        <v>33</v>
      </c>
    </row>
    <row r="5" spans="1:8" x14ac:dyDescent="0.25">
      <c r="A5" s="46" t="s">
        <v>55</v>
      </c>
      <c r="B5" s="25">
        <v>7.2727272727272725</v>
      </c>
      <c r="C5" s="26">
        <v>14.25</v>
      </c>
      <c r="D5" s="26">
        <v>9.5</v>
      </c>
      <c r="E5" s="26">
        <v>0.12152279999999999</v>
      </c>
      <c r="F5" s="47">
        <v>1.5255506163636363</v>
      </c>
      <c r="G5" s="15">
        <f>F5*5.2</f>
        <v>7.9328632050909089</v>
      </c>
    </row>
    <row r="6" spans="1:8" x14ac:dyDescent="0.25">
      <c r="A6" s="6" t="s">
        <v>52</v>
      </c>
      <c r="B6" s="25">
        <v>7.2727272727272725</v>
      </c>
      <c r="C6" s="26">
        <v>14.25</v>
      </c>
      <c r="D6" s="26">
        <v>9.5</v>
      </c>
      <c r="E6" s="26">
        <v>0.12152279999999999</v>
      </c>
      <c r="F6" s="47">
        <v>1.5255506163636363</v>
      </c>
      <c r="G6" s="71">
        <f t="shared" ref="G6:G24" si="0">F6*5.2</f>
        <v>7.9328632050909089</v>
      </c>
    </row>
    <row r="7" spans="1:8" x14ac:dyDescent="0.25">
      <c r="A7" s="46" t="s">
        <v>58</v>
      </c>
      <c r="B7" s="25">
        <v>114.54545454545442</v>
      </c>
      <c r="C7" s="26">
        <v>27.69047619047619</v>
      </c>
      <c r="D7" s="26">
        <v>14.079365079365079</v>
      </c>
      <c r="E7" s="26">
        <v>8.3961044999999999</v>
      </c>
      <c r="F7" s="47">
        <v>49.600442525454547</v>
      </c>
      <c r="G7" s="15">
        <f t="shared" si="0"/>
        <v>257.92230113236366</v>
      </c>
    </row>
    <row r="8" spans="1:8" x14ac:dyDescent="0.25">
      <c r="A8" s="6" t="s">
        <v>52</v>
      </c>
      <c r="B8" s="25">
        <v>38.181818181818173</v>
      </c>
      <c r="C8" s="26">
        <v>14.952380952380953</v>
      </c>
      <c r="D8" s="26">
        <v>11.19047619047619</v>
      </c>
      <c r="E8" s="26">
        <v>0.69457920000000006</v>
      </c>
      <c r="F8" s="47">
        <v>3.1904292734545456</v>
      </c>
      <c r="G8" s="71">
        <f t="shared" si="0"/>
        <v>16.590232221963639</v>
      </c>
    </row>
    <row r="9" spans="1:8" x14ac:dyDescent="0.25">
      <c r="A9" s="6" t="s">
        <v>53</v>
      </c>
      <c r="B9" s="25">
        <v>25.454545454545446</v>
      </c>
      <c r="C9" s="26">
        <v>23</v>
      </c>
      <c r="D9" s="26">
        <v>13.714285714285714</v>
      </c>
      <c r="E9" s="26">
        <v>1.0738560000000004</v>
      </c>
      <c r="F9" s="47">
        <v>5.5972490305454521</v>
      </c>
      <c r="G9" s="71">
        <f t="shared" si="0"/>
        <v>29.105694958836352</v>
      </c>
    </row>
    <row r="10" spans="1:8" x14ac:dyDescent="0.25">
      <c r="A10" s="6" t="s">
        <v>64</v>
      </c>
      <c r="B10" s="25">
        <v>25.454545454545446</v>
      </c>
      <c r="C10" s="26">
        <v>31.821428571428573</v>
      </c>
      <c r="D10" s="26">
        <v>15.928571428571429</v>
      </c>
      <c r="E10" s="26">
        <v>2.0373633</v>
      </c>
      <c r="F10" s="47">
        <v>12.148021863636361</v>
      </c>
      <c r="G10" s="71">
        <f t="shared" si="0"/>
        <v>63.169713690909077</v>
      </c>
    </row>
    <row r="11" spans="1:8" x14ac:dyDescent="0.25">
      <c r="A11" s="6" t="s">
        <v>65</v>
      </c>
      <c r="B11" s="25">
        <v>14.545454545454545</v>
      </c>
      <c r="C11" s="26">
        <v>41.875</v>
      </c>
      <c r="D11" s="26">
        <v>16.5</v>
      </c>
      <c r="E11" s="26">
        <v>2.0061971999999999</v>
      </c>
      <c r="F11" s="47">
        <v>12.119245689454544</v>
      </c>
      <c r="G11" s="71">
        <f t="shared" si="0"/>
        <v>63.020077585163634</v>
      </c>
      <c r="H11" s="54"/>
    </row>
    <row r="12" spans="1:8" x14ac:dyDescent="0.25">
      <c r="A12" s="6" t="s">
        <v>66</v>
      </c>
      <c r="B12" s="25">
        <v>9.0909090909090899</v>
      </c>
      <c r="C12" s="26">
        <v>52.6</v>
      </c>
      <c r="D12" s="26">
        <v>17.399999999999999</v>
      </c>
      <c r="E12" s="26">
        <v>1.9807788</v>
      </c>
      <c r="F12" s="47">
        <v>12.58093914690909</v>
      </c>
      <c r="G12" s="71">
        <f t="shared" si="0"/>
        <v>65.420883563927276</v>
      </c>
      <c r="H12" s="54"/>
    </row>
    <row r="13" spans="1:8" x14ac:dyDescent="0.25">
      <c r="A13" s="6" t="s">
        <v>67</v>
      </c>
      <c r="B13" s="25">
        <v>1.8181818181818181</v>
      </c>
      <c r="C13" s="26">
        <v>65</v>
      </c>
      <c r="D13" s="26">
        <v>18</v>
      </c>
      <c r="E13" s="26">
        <v>0.60332999999999992</v>
      </c>
      <c r="F13" s="47">
        <v>3.9645575214545454</v>
      </c>
      <c r="G13" s="71">
        <f t="shared" si="0"/>
        <v>20.615699111563636</v>
      </c>
      <c r="H13" s="54"/>
    </row>
    <row r="14" spans="1:8" x14ac:dyDescent="0.25">
      <c r="A14" s="46" t="s">
        <v>61</v>
      </c>
      <c r="B14" s="25">
        <v>43.636363636363633</v>
      </c>
      <c r="C14" s="26">
        <v>19.708333333333332</v>
      </c>
      <c r="D14" s="26">
        <v>10.166666666666666</v>
      </c>
      <c r="E14" s="26">
        <v>1.7248812</v>
      </c>
      <c r="F14" s="47">
        <v>18.395444938181818</v>
      </c>
      <c r="G14" s="15">
        <f t="shared" si="0"/>
        <v>95.656313678545459</v>
      </c>
      <c r="H14" s="54"/>
    </row>
    <row r="15" spans="1:8" x14ac:dyDescent="0.25">
      <c r="A15" s="6" t="s">
        <v>52</v>
      </c>
      <c r="B15" s="25">
        <v>27.272727272727263</v>
      </c>
      <c r="C15" s="26">
        <v>13.066666666666666</v>
      </c>
      <c r="D15" s="26">
        <v>8.2666666666666675</v>
      </c>
      <c r="E15" s="26">
        <v>0.37727760000000005</v>
      </c>
      <c r="F15" s="47">
        <v>4.9284084436363633</v>
      </c>
      <c r="G15" s="71">
        <f t="shared" si="0"/>
        <v>25.62772390690909</v>
      </c>
      <c r="H15" s="54"/>
    </row>
    <row r="16" spans="1:8" x14ac:dyDescent="0.25">
      <c r="A16" s="6" t="s">
        <v>53</v>
      </c>
      <c r="B16" s="25">
        <v>7.2727272727272725</v>
      </c>
      <c r="C16" s="26">
        <v>22.5</v>
      </c>
      <c r="D16" s="26">
        <v>12.25</v>
      </c>
      <c r="E16" s="26">
        <v>0.29074079999999997</v>
      </c>
      <c r="F16" s="47">
        <v>2.8826450672727271</v>
      </c>
      <c r="G16" s="71">
        <f t="shared" si="0"/>
        <v>14.989754349818181</v>
      </c>
    </row>
    <row r="17" spans="1:7" x14ac:dyDescent="0.25">
      <c r="A17" s="6" t="s">
        <v>64</v>
      </c>
      <c r="B17" s="25">
        <v>5.4545454545454541</v>
      </c>
      <c r="C17" s="26">
        <v>31</v>
      </c>
      <c r="D17" s="26">
        <v>12.333333333333334</v>
      </c>
      <c r="E17" s="26">
        <v>0.41197799999999996</v>
      </c>
      <c r="F17" s="47">
        <v>3.5885942563636366</v>
      </c>
      <c r="G17" s="71">
        <f t="shared" si="0"/>
        <v>18.66069013309091</v>
      </c>
    </row>
    <row r="18" spans="1:7" x14ac:dyDescent="0.25">
      <c r="A18" s="6" t="s">
        <v>65</v>
      </c>
      <c r="B18" s="25">
        <v>1.8181818181818181</v>
      </c>
      <c r="C18" s="26">
        <v>40</v>
      </c>
      <c r="D18" s="26">
        <v>16</v>
      </c>
      <c r="E18" s="26">
        <v>0.22848000000000002</v>
      </c>
      <c r="F18" s="47">
        <v>2.3612939381818179</v>
      </c>
      <c r="G18" s="71">
        <f t="shared" si="0"/>
        <v>12.278728478545453</v>
      </c>
    </row>
    <row r="19" spans="1:7" x14ac:dyDescent="0.25">
      <c r="A19" s="6" t="s">
        <v>66</v>
      </c>
      <c r="B19" s="25">
        <v>1.8181818181818181</v>
      </c>
      <c r="C19" s="26">
        <v>54</v>
      </c>
      <c r="D19" s="26">
        <v>18</v>
      </c>
      <c r="E19" s="26">
        <v>0.41640480000000002</v>
      </c>
      <c r="F19" s="47">
        <v>4.6345032327272726</v>
      </c>
      <c r="G19" s="71">
        <f t="shared" si="0"/>
        <v>24.099416810181818</v>
      </c>
    </row>
    <row r="20" spans="1:7" x14ac:dyDescent="0.25">
      <c r="A20" s="46" t="s">
        <v>62</v>
      </c>
      <c r="B20" s="25">
        <v>29.090909090909079</v>
      </c>
      <c r="C20" s="26">
        <v>30.3125</v>
      </c>
      <c r="D20" s="26">
        <v>16.75</v>
      </c>
      <c r="E20" s="26">
        <v>2.2203971999999998</v>
      </c>
      <c r="F20" s="47">
        <v>14.278978411636363</v>
      </c>
      <c r="G20" s="15">
        <f t="shared" si="0"/>
        <v>74.250687740509093</v>
      </c>
    </row>
    <row r="21" spans="1:7" x14ac:dyDescent="0.25">
      <c r="A21" s="6" t="s">
        <v>52</v>
      </c>
      <c r="B21" s="25">
        <v>3.6363636363636362</v>
      </c>
      <c r="C21" s="26">
        <v>17</v>
      </c>
      <c r="D21" s="26">
        <v>14.5</v>
      </c>
      <c r="E21" s="26">
        <v>8.2823999999999995E-2</v>
      </c>
      <c r="F21" s="47">
        <v>0.49643862763636359</v>
      </c>
      <c r="G21" s="71">
        <f t="shared" si="0"/>
        <v>2.5814808637090909</v>
      </c>
    </row>
    <row r="22" spans="1:7" x14ac:dyDescent="0.25">
      <c r="A22" s="6" t="s">
        <v>53</v>
      </c>
      <c r="B22" s="25">
        <v>7.2727272727272725</v>
      </c>
      <c r="C22" s="26">
        <v>25.75</v>
      </c>
      <c r="D22" s="26">
        <v>18</v>
      </c>
      <c r="E22" s="26">
        <v>0.38570280000000001</v>
      </c>
      <c r="F22" s="47">
        <v>2.6190720109090906</v>
      </c>
      <c r="G22" s="71">
        <f t="shared" si="0"/>
        <v>13.619174456727272</v>
      </c>
    </row>
    <row r="23" spans="1:7" x14ac:dyDescent="0.25">
      <c r="A23" s="6" t="s">
        <v>64</v>
      </c>
      <c r="B23" s="25">
        <v>14.545454545454545</v>
      </c>
      <c r="C23" s="26">
        <v>33.125</v>
      </c>
      <c r="D23" s="26">
        <v>16.75</v>
      </c>
      <c r="E23" s="26">
        <v>1.2593532000000001</v>
      </c>
      <c r="F23" s="47">
        <v>8.1162889974545429</v>
      </c>
      <c r="G23" s="71">
        <f t="shared" si="0"/>
        <v>42.204702786763626</v>
      </c>
    </row>
    <row r="24" spans="1:7" x14ac:dyDescent="0.25">
      <c r="A24" s="6" t="s">
        <v>65</v>
      </c>
      <c r="B24" s="25">
        <v>3.6363636363636362</v>
      </c>
      <c r="C24" s="26">
        <v>41.5</v>
      </c>
      <c r="D24" s="26">
        <v>16.5</v>
      </c>
      <c r="E24" s="26">
        <v>0.49251719999999999</v>
      </c>
      <c r="F24" s="47">
        <v>3.0471787756363633</v>
      </c>
      <c r="G24" s="71">
        <f t="shared" si="0"/>
        <v>15.84532963330909</v>
      </c>
    </row>
    <row r="25" spans="1:7" x14ac:dyDescent="0.25">
      <c r="A25" s="53" t="s">
        <v>13</v>
      </c>
      <c r="B25" s="44">
        <v>194.54545454545419</v>
      </c>
      <c r="C25" s="45">
        <v>25.789719626168225</v>
      </c>
      <c r="D25" s="45">
        <v>13.429906542056075</v>
      </c>
      <c r="E25" s="45">
        <v>12.46290569999999</v>
      </c>
      <c r="F25" s="67">
        <v>83.800416491636355</v>
      </c>
      <c r="G25" s="72">
        <f>GETPIVOTDATA("Suma de Volumen/Ha.",$A$3)*5.2</f>
        <v>435.76216575650903</v>
      </c>
    </row>
  </sheetData>
  <pageMargins left="0.7" right="0.7" top="0.75" bottom="0.75" header="0.3" footer="0.3"/>
  <pageSetup orientation="portrait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workbookViewId="0">
      <selection activeCell="B2" sqref="B2:C2"/>
    </sheetView>
  </sheetViews>
  <sheetFormatPr baseColWidth="10" defaultColWidth="11.42578125" defaultRowHeight="15" x14ac:dyDescent="0.25"/>
  <cols>
    <col min="5" max="5" width="21.140625" customWidth="1"/>
    <col min="6" max="6" width="12.85546875" customWidth="1"/>
  </cols>
  <sheetData>
    <row r="2" spans="2:6" x14ac:dyDescent="0.25">
      <c r="B2" s="68" t="s">
        <v>70</v>
      </c>
      <c r="C2" s="69">
        <v>0.9</v>
      </c>
    </row>
    <row r="3" spans="2:6" x14ac:dyDescent="0.25">
      <c r="B3" s="86" t="s">
        <v>35</v>
      </c>
      <c r="C3" s="86"/>
      <c r="D3" s="35" t="s">
        <v>36</v>
      </c>
      <c r="E3" s="35" t="s">
        <v>37</v>
      </c>
      <c r="F3" s="36" t="s">
        <v>38</v>
      </c>
    </row>
    <row r="4" spans="2:6" x14ac:dyDescent="0.25">
      <c r="B4" s="86"/>
      <c r="C4" s="86"/>
      <c r="D4" s="37">
        <v>5.2</v>
      </c>
      <c r="E4" s="37">
        <v>1.8120000000000001</v>
      </c>
      <c r="F4" s="37">
        <v>11</v>
      </c>
    </row>
    <row r="5" spans="2:6" x14ac:dyDescent="0.25">
      <c r="B5" s="35" t="s">
        <v>39</v>
      </c>
      <c r="C5" s="35" t="s">
        <v>40</v>
      </c>
      <c r="D5" s="35" t="s">
        <v>41</v>
      </c>
      <c r="E5" s="35" t="s">
        <v>42</v>
      </c>
      <c r="F5" s="35" t="s">
        <v>43</v>
      </c>
    </row>
    <row r="6" spans="2:6" x14ac:dyDescent="0.25">
      <c r="B6" s="35">
        <v>1</v>
      </c>
      <c r="C6" s="48">
        <v>5.2011976338181807</v>
      </c>
      <c r="D6" s="38">
        <f>C6*C6</f>
        <v>27.05245682603584</v>
      </c>
      <c r="E6" s="35" t="s">
        <v>44</v>
      </c>
      <c r="F6" s="39">
        <f>C17/F4</f>
        <v>7.6182196810578509</v>
      </c>
    </row>
    <row r="7" spans="2:6" x14ac:dyDescent="0.25">
      <c r="B7" s="35">
        <v>2</v>
      </c>
      <c r="C7" s="48">
        <v>5.836923839999999</v>
      </c>
      <c r="D7" s="38">
        <f>C7*C7</f>
        <v>34.069679913960336</v>
      </c>
      <c r="E7" s="35" t="s">
        <v>45</v>
      </c>
      <c r="F7" s="40">
        <f>(((D17)-((C17*C17)/F4))/(F4-1))</f>
        <v>5.4755947198592478</v>
      </c>
    </row>
    <row r="8" spans="2:6" x14ac:dyDescent="0.25">
      <c r="B8" s="35">
        <v>3</v>
      </c>
      <c r="C8" s="48">
        <v>10.754076817454543</v>
      </c>
      <c r="D8" s="38">
        <f>C8*C8</f>
        <v>115.65016819571322</v>
      </c>
      <c r="E8" s="35" t="s">
        <v>46</v>
      </c>
      <c r="F8" s="40">
        <f>SQRT(F7)</f>
        <v>2.3399988717645246</v>
      </c>
    </row>
    <row r="9" spans="2:6" x14ac:dyDescent="0.25">
      <c r="B9" s="56">
        <v>4</v>
      </c>
      <c r="C9" s="48">
        <v>5.9380867218181814</v>
      </c>
      <c r="D9" s="38">
        <f t="shared" ref="D9:D16" si="0">C9*C9</f>
        <v>35.260873915833393</v>
      </c>
      <c r="E9" s="35" t="s">
        <v>47</v>
      </c>
      <c r="F9" s="40">
        <f>SQRT(((F7)/F4)*(1-((F4)/(D4*10))))</f>
        <v>0.62648339140809695</v>
      </c>
    </row>
    <row r="10" spans="2:6" x14ac:dyDescent="0.25">
      <c r="B10" s="56">
        <v>5</v>
      </c>
      <c r="C10" s="26">
        <v>10.324011586909091</v>
      </c>
      <c r="D10" s="38">
        <f t="shared" si="0"/>
        <v>106.58521524663315</v>
      </c>
      <c r="E10" s="35" t="s">
        <v>48</v>
      </c>
      <c r="F10" s="40">
        <f>F9*E4</f>
        <v>1.1351879052314717</v>
      </c>
    </row>
    <row r="11" spans="2:6" x14ac:dyDescent="0.25">
      <c r="B11" s="56">
        <v>6</v>
      </c>
      <c r="C11" s="41">
        <v>8.845313502181817</v>
      </c>
      <c r="D11" s="38">
        <f t="shared" si="0"/>
        <v>78.239570951879955</v>
      </c>
      <c r="E11" s="35" t="s">
        <v>48</v>
      </c>
      <c r="F11" s="42">
        <f>((F10)/F6)</f>
        <v>0.14900960496768476</v>
      </c>
    </row>
    <row r="12" spans="2:6" x14ac:dyDescent="0.25">
      <c r="B12" s="56">
        <v>7</v>
      </c>
      <c r="C12" s="41">
        <v>7.9719601847272719</v>
      </c>
      <c r="D12" s="38">
        <f t="shared" si="0"/>
        <v>63.552149186876882</v>
      </c>
      <c r="E12" s="35" t="s">
        <v>49</v>
      </c>
      <c r="F12" s="40">
        <f>F6+F10</f>
        <v>8.7534075862893221</v>
      </c>
    </row>
    <row r="13" spans="2:6" x14ac:dyDescent="0.25">
      <c r="B13" s="56">
        <v>8</v>
      </c>
      <c r="C13" s="41">
        <v>5.0926937396363625</v>
      </c>
      <c r="D13" s="38">
        <f t="shared" si="0"/>
        <v>25.9355295257314</v>
      </c>
      <c r="E13" s="35" t="s">
        <v>50</v>
      </c>
      <c r="F13" s="40">
        <f>F6-F10</f>
        <v>6.4830317758263796</v>
      </c>
    </row>
    <row r="14" spans="2:6" s="1" customFormat="1" x14ac:dyDescent="0.25">
      <c r="B14" s="56">
        <v>9</v>
      </c>
      <c r="C14" s="41">
        <v>8.3320536076363609</v>
      </c>
      <c r="D14" s="38">
        <f t="shared" si="0"/>
        <v>69.423117320526103</v>
      </c>
      <c r="E14" s="56"/>
      <c r="F14" s="40"/>
    </row>
    <row r="15" spans="2:6" x14ac:dyDescent="0.25">
      <c r="B15" s="56">
        <v>10</v>
      </c>
      <c r="C15" s="41">
        <v>4.8187383625454547</v>
      </c>
      <c r="D15" s="38">
        <f t="shared" si="0"/>
        <v>23.22023940666725</v>
      </c>
      <c r="E15" s="35"/>
      <c r="F15" s="40"/>
    </row>
    <row r="16" spans="2:6" x14ac:dyDescent="0.25">
      <c r="B16" s="56">
        <v>11</v>
      </c>
      <c r="C16" s="41">
        <v>10.685360494909091</v>
      </c>
      <c r="D16" s="38">
        <f t="shared" si="0"/>
        <v>114.17692890616385</v>
      </c>
      <c r="E16" s="35"/>
      <c r="F16" s="40"/>
    </row>
    <row r="17" spans="2:6" x14ac:dyDescent="0.25">
      <c r="B17" s="35" t="s">
        <v>51</v>
      </c>
      <c r="C17" s="43">
        <f>SUM(C6:C16)</f>
        <v>83.800416491636355</v>
      </c>
      <c r="D17" s="43">
        <f>SUM(D6:D16)</f>
        <v>693.1659293960214</v>
      </c>
      <c r="E17" s="35"/>
      <c r="F17" s="35"/>
    </row>
  </sheetData>
  <mergeCells count="1">
    <mergeCell ref="B3:C4"/>
  </mergeCells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5" sqref="C5"/>
    </sheetView>
  </sheetViews>
  <sheetFormatPr baseColWidth="10" defaultColWidth="11.42578125" defaultRowHeight="15" x14ac:dyDescent="0.25"/>
  <sheetData>
    <row r="1" spans="1:3" x14ac:dyDescent="0.25">
      <c r="A1" s="74" t="s">
        <v>21</v>
      </c>
      <c r="B1" s="74" t="s">
        <v>72</v>
      </c>
      <c r="C1" s="74" t="s">
        <v>73</v>
      </c>
    </row>
    <row r="2" spans="1:3" x14ac:dyDescent="0.25">
      <c r="A2" s="74">
        <v>1</v>
      </c>
      <c r="B2" s="74">
        <v>392410</v>
      </c>
      <c r="C2" s="74">
        <v>1724739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G6" sqref="G6"/>
    </sheetView>
  </sheetViews>
  <sheetFormatPr baseColWidth="10" defaultColWidth="11.42578125" defaultRowHeight="15" x14ac:dyDescent="0.25"/>
  <cols>
    <col min="1" max="1" width="11.42578125" style="1"/>
    <col min="2" max="2" width="4.140625" bestFit="1" customWidth="1"/>
    <col min="3" max="3" width="7" bestFit="1" customWidth="1"/>
    <col min="4" max="4" width="8" bestFit="1" customWidth="1"/>
    <col min="5" max="5" width="11.7109375" bestFit="1" customWidth="1"/>
    <col min="6" max="6" width="13.42578125" bestFit="1" customWidth="1"/>
    <col min="7" max="7" width="7" bestFit="1" customWidth="1"/>
    <col min="8" max="8" width="4.28515625" bestFit="1" customWidth="1"/>
    <col min="9" max="9" width="9.5703125" bestFit="1" customWidth="1"/>
    <col min="10" max="10" width="6.140625" bestFit="1" customWidth="1"/>
    <col min="11" max="11" width="13.42578125" bestFit="1" customWidth="1"/>
  </cols>
  <sheetData>
    <row r="1" spans="1:11" x14ac:dyDescent="0.25">
      <c r="A1" s="78" t="s">
        <v>77</v>
      </c>
      <c r="B1" s="74" t="s">
        <v>21</v>
      </c>
      <c r="C1" s="74" t="s">
        <v>72</v>
      </c>
      <c r="D1" s="74" t="s">
        <v>73</v>
      </c>
      <c r="E1" s="75" t="s">
        <v>68</v>
      </c>
      <c r="F1" s="78" t="s">
        <v>78</v>
      </c>
      <c r="G1" s="75" t="s">
        <v>76</v>
      </c>
      <c r="H1" s="78" t="s">
        <v>79</v>
      </c>
      <c r="I1" s="78" t="s">
        <v>80</v>
      </c>
      <c r="J1" s="78" t="s">
        <v>81</v>
      </c>
      <c r="K1" s="75" t="s">
        <v>74</v>
      </c>
    </row>
    <row r="2" spans="1:11" x14ac:dyDescent="0.25">
      <c r="A2" s="79" t="s">
        <v>82</v>
      </c>
      <c r="B2" s="74">
        <v>1</v>
      </c>
      <c r="C2" s="74">
        <v>392120</v>
      </c>
      <c r="D2" s="74">
        <v>1724636</v>
      </c>
      <c r="E2" s="76">
        <f>500/10000</f>
        <v>0.05</v>
      </c>
      <c r="G2" s="77">
        <v>41306</v>
      </c>
      <c r="K2" t="s">
        <v>75</v>
      </c>
    </row>
    <row r="3" spans="1:11" x14ac:dyDescent="0.25">
      <c r="A3" s="79" t="s">
        <v>82</v>
      </c>
      <c r="B3" s="74">
        <v>2</v>
      </c>
      <c r="C3" s="74">
        <v>392198</v>
      </c>
      <c r="D3" s="74">
        <v>1724677</v>
      </c>
      <c r="E3" s="76">
        <f t="shared" ref="E3:E12" si="0">500/10000</f>
        <v>0.05</v>
      </c>
      <c r="G3" s="77">
        <v>41306</v>
      </c>
      <c r="K3" s="1" t="s">
        <v>75</v>
      </c>
    </row>
    <row r="4" spans="1:11" x14ac:dyDescent="0.25">
      <c r="A4" s="79" t="s">
        <v>82</v>
      </c>
      <c r="B4" s="74">
        <v>3</v>
      </c>
      <c r="C4" s="74">
        <v>392254</v>
      </c>
      <c r="D4" s="74">
        <v>1724697</v>
      </c>
      <c r="E4" s="76">
        <f t="shared" si="0"/>
        <v>0.05</v>
      </c>
      <c r="G4" s="77">
        <v>41306</v>
      </c>
      <c r="K4" s="1" t="s">
        <v>75</v>
      </c>
    </row>
    <row r="5" spans="1:11" x14ac:dyDescent="0.25">
      <c r="A5" s="79" t="s">
        <v>82</v>
      </c>
      <c r="B5" s="74">
        <v>4</v>
      </c>
      <c r="C5" s="74">
        <v>392269</v>
      </c>
      <c r="D5" s="74">
        <v>1724722</v>
      </c>
      <c r="E5" s="76">
        <f t="shared" si="0"/>
        <v>0.05</v>
      </c>
      <c r="G5" s="77">
        <v>41306</v>
      </c>
      <c r="K5" s="1" t="s">
        <v>75</v>
      </c>
    </row>
    <row r="6" spans="1:11" x14ac:dyDescent="0.25">
      <c r="A6" s="79" t="s">
        <v>82</v>
      </c>
      <c r="B6" s="74">
        <v>5</v>
      </c>
      <c r="C6" s="74">
        <v>392363</v>
      </c>
      <c r="D6" s="74">
        <v>1724697</v>
      </c>
      <c r="E6" s="76">
        <f t="shared" si="0"/>
        <v>0.05</v>
      </c>
      <c r="G6" s="77">
        <v>41306</v>
      </c>
      <c r="K6" s="1" t="s">
        <v>75</v>
      </c>
    </row>
    <row r="7" spans="1:11" x14ac:dyDescent="0.25">
      <c r="A7" s="79" t="s">
        <v>82</v>
      </c>
      <c r="B7" s="74">
        <v>6</v>
      </c>
      <c r="C7" s="74">
        <v>392329</v>
      </c>
      <c r="D7" s="74">
        <v>1724558</v>
      </c>
      <c r="E7" s="76">
        <f t="shared" si="0"/>
        <v>0.05</v>
      </c>
      <c r="G7" s="77">
        <v>41306</v>
      </c>
      <c r="K7" s="1" t="s">
        <v>75</v>
      </c>
    </row>
    <row r="8" spans="1:11" x14ac:dyDescent="0.25">
      <c r="A8" s="79" t="s">
        <v>82</v>
      </c>
      <c r="B8" s="74">
        <v>7</v>
      </c>
      <c r="C8" s="74">
        <v>392270</v>
      </c>
      <c r="D8" s="74">
        <v>1724595</v>
      </c>
      <c r="E8" s="76">
        <f t="shared" si="0"/>
        <v>0.05</v>
      </c>
      <c r="G8" s="77">
        <v>41306</v>
      </c>
      <c r="K8" s="1" t="s">
        <v>75</v>
      </c>
    </row>
    <row r="9" spans="1:11" x14ac:dyDescent="0.25">
      <c r="A9" s="79" t="s">
        <v>82</v>
      </c>
      <c r="B9" s="74">
        <v>8</v>
      </c>
      <c r="C9" s="74">
        <v>392247</v>
      </c>
      <c r="D9" s="74">
        <v>1724512</v>
      </c>
      <c r="E9" s="76">
        <f t="shared" si="0"/>
        <v>0.05</v>
      </c>
      <c r="G9" s="77">
        <v>41306</v>
      </c>
      <c r="K9" s="1" t="s">
        <v>75</v>
      </c>
    </row>
    <row r="10" spans="1:11" x14ac:dyDescent="0.25">
      <c r="A10" s="79" t="s">
        <v>82</v>
      </c>
      <c r="B10" s="74">
        <v>9</v>
      </c>
      <c r="C10" s="74">
        <v>392225</v>
      </c>
      <c r="D10" s="74">
        <v>1724482</v>
      </c>
      <c r="E10" s="76">
        <f t="shared" si="0"/>
        <v>0.05</v>
      </c>
      <c r="G10" s="77">
        <v>41306</v>
      </c>
      <c r="K10" s="1" t="s">
        <v>75</v>
      </c>
    </row>
    <row r="11" spans="1:11" x14ac:dyDescent="0.25">
      <c r="A11" s="79" t="s">
        <v>82</v>
      </c>
      <c r="B11" s="74">
        <v>10</v>
      </c>
      <c r="C11" s="74">
        <v>392167</v>
      </c>
      <c r="D11" s="74">
        <v>1724538</v>
      </c>
      <c r="E11" s="76">
        <f t="shared" si="0"/>
        <v>0.05</v>
      </c>
      <c r="G11" s="77">
        <v>41306</v>
      </c>
      <c r="K11" s="1" t="s">
        <v>75</v>
      </c>
    </row>
    <row r="12" spans="1:11" x14ac:dyDescent="0.25">
      <c r="A12" s="79" t="s">
        <v>82</v>
      </c>
      <c r="B12" s="74">
        <v>11</v>
      </c>
      <c r="C12" s="74">
        <v>392109</v>
      </c>
      <c r="D12" s="74">
        <v>1724613</v>
      </c>
      <c r="E12" s="76">
        <f t="shared" si="0"/>
        <v>0.05</v>
      </c>
      <c r="G12" s="77">
        <v>41306</v>
      </c>
      <c r="K12" s="1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base de datos</vt:lpstr>
      <vt:lpstr>% de abundancia</vt:lpstr>
      <vt:lpstr>cuadro 3</vt:lpstr>
      <vt:lpstr>anexo 2</vt:lpstr>
      <vt:lpstr>anexo 3</vt:lpstr>
      <vt:lpstr>analisis</vt:lpstr>
      <vt:lpstr>P. Referencia</vt:lpstr>
      <vt:lpstr>Parcelas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DangerGo</cp:lastModifiedBy>
  <cp:lastPrinted>2013-10-30T04:25:04Z</cp:lastPrinted>
  <dcterms:created xsi:type="dcterms:W3CDTF">2013-02-20T15:36:32Z</dcterms:created>
  <dcterms:modified xsi:type="dcterms:W3CDTF">2017-03-26T05:47:30Z</dcterms:modified>
</cp:coreProperties>
</file>