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HENRY_LOPEZ_IF_2013\"/>
    </mc:Choice>
  </mc:AlternateContent>
  <bookViews>
    <workbookView xWindow="240" yWindow="75" windowWidth="15480" windowHeight="7995" activeTab="7"/>
  </bookViews>
  <sheets>
    <sheet name="base de datos" sheetId="1" r:id="rId1"/>
    <sheet name="% de abundancia" sheetId="4" r:id="rId2"/>
    <sheet name="cuadro 3" sheetId="5" r:id="rId3"/>
    <sheet name="anexo 2" sheetId="6" r:id="rId4"/>
    <sheet name="anexo 3" sheetId="7" r:id="rId5"/>
    <sheet name="analisis" sheetId="2" r:id="rId6"/>
    <sheet name="P. referencia" sheetId="8" r:id="rId7"/>
    <sheet name="Parcelas" sheetId="9" r:id="rId8"/>
  </sheets>
  <definedNames>
    <definedName name="_xlnm._FilterDatabase" localSheetId="0" hidden="1">'base de datos'!$A$1:$L$79</definedName>
  </definedNames>
  <calcPr calcId="152511"/>
  <pivotCaches>
    <pivotCache cacheId="58" r:id="rId9"/>
  </pivotCaches>
</workbook>
</file>

<file path=xl/calcChain.xml><?xml version="1.0" encoding="utf-8"?>
<calcChain xmlns="http://schemas.openxmlformats.org/spreadsheetml/2006/main">
  <c r="E6" i="9" l="1"/>
  <c r="E5" i="9"/>
  <c r="E4" i="9"/>
  <c r="E3" i="9"/>
  <c r="E2" i="9"/>
  <c r="G6" i="7" l="1"/>
  <c r="G7" i="7"/>
  <c r="G8" i="7"/>
  <c r="G9" i="7"/>
  <c r="G10" i="7"/>
  <c r="G11" i="7"/>
  <c r="G12" i="7"/>
  <c r="G13" i="7"/>
  <c r="G14" i="7"/>
  <c r="G15" i="7"/>
  <c r="G16" i="7"/>
  <c r="G5" i="7"/>
  <c r="J79" i="1"/>
  <c r="J78" i="1"/>
  <c r="J77" i="1"/>
  <c r="J76" i="1"/>
  <c r="J75" i="1"/>
  <c r="J74" i="1"/>
  <c r="J73" i="1"/>
  <c r="J72" i="1"/>
  <c r="J71" i="1"/>
  <c r="J70" i="1"/>
  <c r="J69" i="1"/>
  <c r="J68" i="1"/>
  <c r="H79" i="1"/>
  <c r="H78" i="1"/>
  <c r="H77" i="1"/>
  <c r="H76" i="1"/>
  <c r="H75" i="1"/>
  <c r="H74" i="1"/>
  <c r="H73" i="1"/>
  <c r="H72" i="1"/>
  <c r="H71" i="1"/>
  <c r="H70" i="1"/>
  <c r="H69" i="1"/>
  <c r="H68" i="1"/>
  <c r="O3" i="1"/>
  <c r="L69" i="1" s="1"/>
  <c r="G6" i="6"/>
  <c r="G7" i="6"/>
  <c r="G8" i="6"/>
  <c r="G9" i="6"/>
  <c r="G5" i="6"/>
  <c r="F16" i="5"/>
  <c r="G16" i="5"/>
  <c r="H17" i="5"/>
  <c r="E15" i="5"/>
  <c r="G17" i="5"/>
  <c r="E22" i="4"/>
  <c r="I15" i="5"/>
  <c r="F17" i="5"/>
  <c r="H14" i="5"/>
  <c r="E17" i="5"/>
  <c r="H15" i="5"/>
  <c r="F14" i="5"/>
  <c r="G14" i="5"/>
  <c r="E20" i="4"/>
  <c r="F15" i="5"/>
  <c r="G10" i="6"/>
  <c r="E16" i="5"/>
  <c r="E14" i="5"/>
  <c r="H16" i="5"/>
  <c r="I16" i="5"/>
  <c r="E21" i="4"/>
  <c r="I14" i="5"/>
  <c r="G15" i="5"/>
  <c r="I17" i="5"/>
  <c r="I69" i="1" l="1"/>
  <c r="I73" i="1"/>
  <c r="I77" i="1"/>
  <c r="I79" i="1"/>
  <c r="K71" i="1"/>
  <c r="K73" i="1"/>
  <c r="K75" i="1"/>
  <c r="K77" i="1"/>
  <c r="K79" i="1"/>
  <c r="L78" i="1"/>
  <c r="L76" i="1"/>
  <c r="L74" i="1"/>
  <c r="L72" i="1"/>
  <c r="L70" i="1"/>
  <c r="L68" i="1"/>
  <c r="I71" i="1"/>
  <c r="I75" i="1"/>
  <c r="K69" i="1"/>
  <c r="I68" i="1"/>
  <c r="I70" i="1"/>
  <c r="I72" i="1"/>
  <c r="I74" i="1"/>
  <c r="I76" i="1"/>
  <c r="I78" i="1"/>
  <c r="K68" i="1"/>
  <c r="K70" i="1"/>
  <c r="K72" i="1"/>
  <c r="K74" i="1"/>
  <c r="K76" i="1"/>
  <c r="K78" i="1"/>
  <c r="L79" i="1"/>
  <c r="L77" i="1"/>
  <c r="L75" i="1"/>
  <c r="L73" i="1"/>
  <c r="L71" i="1"/>
  <c r="J15" i="5"/>
  <c r="J16" i="5"/>
  <c r="J17" i="5"/>
  <c r="J66" i="1"/>
  <c r="J56" i="1"/>
  <c r="J52" i="1"/>
  <c r="J51" i="1"/>
  <c r="J47" i="1"/>
  <c r="J46" i="1"/>
  <c r="J44" i="1"/>
  <c r="J42" i="1"/>
  <c r="J41" i="1"/>
  <c r="J40" i="1"/>
  <c r="J39" i="1"/>
  <c r="J37" i="1"/>
  <c r="J36" i="1"/>
  <c r="J35" i="1"/>
  <c r="J34" i="1"/>
  <c r="J33" i="1"/>
  <c r="J32" i="1"/>
  <c r="J31" i="1"/>
  <c r="J28" i="1"/>
  <c r="J27" i="1"/>
  <c r="J26" i="1"/>
  <c r="J21" i="1"/>
  <c r="J20" i="1"/>
  <c r="J19" i="1"/>
  <c r="J18" i="1"/>
  <c r="J17" i="1"/>
  <c r="J16" i="1"/>
  <c r="J14" i="1"/>
  <c r="J13" i="1"/>
  <c r="J12" i="1"/>
  <c r="J11" i="1"/>
  <c r="J10" i="1"/>
  <c r="J9" i="1"/>
  <c r="J8" i="1"/>
  <c r="J6" i="1"/>
  <c r="J5" i="1"/>
  <c r="J4" i="1"/>
  <c r="J3" i="1"/>
  <c r="J2" i="1"/>
  <c r="J67" i="1"/>
  <c r="J65" i="1"/>
  <c r="J64" i="1"/>
  <c r="J63" i="1"/>
  <c r="J62" i="1"/>
  <c r="J61" i="1"/>
  <c r="J60" i="1"/>
  <c r="J59" i="1"/>
  <c r="J58" i="1"/>
  <c r="J57" i="1"/>
  <c r="J55" i="1"/>
  <c r="J54" i="1"/>
  <c r="J53" i="1"/>
  <c r="J50" i="1"/>
  <c r="J49" i="1"/>
  <c r="J48" i="1"/>
  <c r="J45" i="1"/>
  <c r="J43" i="1"/>
  <c r="J38" i="1"/>
  <c r="J30" i="1"/>
  <c r="J29" i="1"/>
  <c r="J25" i="1"/>
  <c r="J24" i="1"/>
  <c r="J23" i="1"/>
  <c r="J22" i="1"/>
  <c r="J15" i="1"/>
  <c r="D17" i="5"/>
  <c r="D16" i="5"/>
  <c r="D15" i="5"/>
  <c r="D14" i="5"/>
  <c r="J7" i="1"/>
  <c r="D22" i="4"/>
  <c r="D21" i="4"/>
  <c r="D20" i="4"/>
  <c r="C22" i="4"/>
  <c r="C21" i="4"/>
  <c r="C20" i="4"/>
  <c r="H64" i="1"/>
  <c r="H65" i="1"/>
  <c r="H66" i="1"/>
  <c r="H67" i="1"/>
  <c r="J14" i="5" l="1"/>
  <c r="E23" i="4"/>
  <c r="F20" i="4" s="1"/>
  <c r="H3" i="1"/>
  <c r="K55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30" i="1"/>
  <c r="H29" i="1"/>
  <c r="K10" i="4"/>
  <c r="L7" i="5"/>
  <c r="C16" i="2"/>
  <c r="F6" i="2" s="1"/>
  <c r="D15" i="2"/>
  <c r="D14" i="2"/>
  <c r="D13" i="2"/>
  <c r="D12" i="2"/>
  <c r="D11" i="2"/>
  <c r="D10" i="2"/>
  <c r="D9" i="2"/>
  <c r="D8" i="2"/>
  <c r="D7" i="2"/>
  <c r="D6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K54" i="1" l="1"/>
  <c r="I49" i="1"/>
  <c r="I47" i="1"/>
  <c r="I45" i="1"/>
  <c r="I43" i="1"/>
  <c r="I41" i="1"/>
  <c r="I39" i="1"/>
  <c r="I37" i="1"/>
  <c r="I35" i="1"/>
  <c r="I33" i="1"/>
  <c r="I31" i="1"/>
  <c r="I27" i="1"/>
  <c r="I25" i="1"/>
  <c r="I23" i="1"/>
  <c r="I21" i="1"/>
  <c r="I19" i="1"/>
  <c r="I17" i="1"/>
  <c r="I15" i="1"/>
  <c r="I13" i="1"/>
  <c r="I11" i="1"/>
  <c r="I9" i="1"/>
  <c r="I7" i="1"/>
  <c r="I5" i="1"/>
  <c r="K59" i="1"/>
  <c r="D16" i="2"/>
  <c r="F21" i="4"/>
  <c r="F22" i="4"/>
  <c r="L4" i="1"/>
  <c r="L64" i="1"/>
  <c r="L66" i="1"/>
  <c r="L65" i="1"/>
  <c r="L67" i="1"/>
  <c r="K66" i="1"/>
  <c r="I67" i="1"/>
  <c r="K65" i="1"/>
  <c r="I66" i="1"/>
  <c r="K64" i="1"/>
  <c r="I65" i="1"/>
  <c r="K67" i="1"/>
  <c r="I64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6" i="1"/>
  <c r="K58" i="1"/>
  <c r="K61" i="1"/>
  <c r="K6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7" i="1"/>
  <c r="K60" i="1"/>
  <c r="K62" i="1"/>
  <c r="K2" i="1"/>
  <c r="I30" i="1"/>
  <c r="I51" i="1"/>
  <c r="I53" i="1"/>
  <c r="I55" i="1"/>
  <c r="I57" i="1"/>
  <c r="I59" i="1"/>
  <c r="I61" i="1"/>
  <c r="I63" i="1"/>
  <c r="I2" i="1"/>
  <c r="I48" i="1"/>
  <c r="I46" i="1"/>
  <c r="I44" i="1"/>
  <c r="I42" i="1"/>
  <c r="I40" i="1"/>
  <c r="I38" i="1"/>
  <c r="I36" i="1"/>
  <c r="I34" i="1"/>
  <c r="I32" i="1"/>
  <c r="I28" i="1"/>
  <c r="I26" i="1"/>
  <c r="I24" i="1"/>
  <c r="I22" i="1"/>
  <c r="I20" i="1"/>
  <c r="I18" i="1"/>
  <c r="I16" i="1"/>
  <c r="I14" i="1"/>
  <c r="I12" i="1"/>
  <c r="I10" i="1"/>
  <c r="I8" i="1"/>
  <c r="I6" i="1"/>
  <c r="I4" i="1"/>
  <c r="I29" i="1"/>
  <c r="I50" i="1"/>
  <c r="I52" i="1"/>
  <c r="I54" i="1"/>
  <c r="I56" i="1"/>
  <c r="I58" i="1"/>
  <c r="I60" i="1"/>
  <c r="I62" i="1"/>
  <c r="I3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30" i="1"/>
  <c r="L28" i="1"/>
  <c r="L26" i="1"/>
  <c r="L24" i="1"/>
  <c r="L22" i="1"/>
  <c r="L20" i="1"/>
  <c r="L18" i="1"/>
  <c r="L16" i="1"/>
  <c r="L14" i="1"/>
  <c r="L11" i="1"/>
  <c r="L9" i="1"/>
  <c r="L7" i="1"/>
  <c r="L5" i="1"/>
  <c r="L3" i="1"/>
  <c r="L2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29" i="1"/>
  <c r="L27" i="1"/>
  <c r="L25" i="1"/>
  <c r="L23" i="1"/>
  <c r="L21" i="1"/>
  <c r="L19" i="1"/>
  <c r="L17" i="1"/>
  <c r="L15" i="1"/>
  <c r="L13" i="1"/>
  <c r="L12" i="1"/>
  <c r="L10" i="1"/>
  <c r="L8" i="1"/>
  <c r="L6" i="1"/>
  <c r="F7" i="2"/>
  <c r="F9" i="2" s="1"/>
  <c r="F10" i="2" s="1"/>
  <c r="F11" i="2" s="1"/>
  <c r="F23" i="4" l="1"/>
  <c r="F8" i="2"/>
  <c r="F13" i="2"/>
  <c r="F12" i="2"/>
</calcChain>
</file>

<file path=xl/sharedStrings.xml><?xml version="1.0" encoding="utf-8"?>
<sst xmlns="http://schemas.openxmlformats.org/spreadsheetml/2006/main" count="357" uniqueCount="78">
  <si>
    <t>Parcela</t>
  </si>
  <si>
    <t>No. Arbol</t>
  </si>
  <si>
    <t>Nombre común</t>
  </si>
  <si>
    <t>Especie</t>
  </si>
  <si>
    <t>Clase diámetrica</t>
  </si>
  <si>
    <t>DAP (cm)</t>
  </si>
  <si>
    <t>Altura (m)</t>
  </si>
  <si>
    <t>Area Basal (m2)</t>
  </si>
  <si>
    <t>AB/Ha.</t>
  </si>
  <si>
    <t>Volumen (m3)</t>
  </si>
  <si>
    <t>Volumen/Ha.</t>
  </si>
  <si>
    <t>Densidad/Ha.</t>
  </si>
  <si>
    <t>Rótulos de fila</t>
  </si>
  <si>
    <t>Total general</t>
  </si>
  <si>
    <t>Cuenta de No. Arbol</t>
  </si>
  <si>
    <t>Suma de Densidad/Ha.</t>
  </si>
  <si>
    <t>Valores</t>
  </si>
  <si>
    <t>Promedio de DAP (cm)</t>
  </si>
  <si>
    <t>Promedio de Altura (m)</t>
  </si>
  <si>
    <t>Suma de AB/Ha.</t>
  </si>
  <si>
    <t>Suma de Volumen/Ha.</t>
  </si>
  <si>
    <t>No.</t>
  </si>
  <si>
    <t>NOMBRE COMUN</t>
  </si>
  <si>
    <t>PRESENCIA</t>
  </si>
  <si>
    <t>% DE ABUNDANCIA</t>
  </si>
  <si>
    <t>Total General</t>
  </si>
  <si>
    <t>Rodal</t>
  </si>
  <si>
    <t>Área (has)</t>
  </si>
  <si>
    <r>
      <t>Volumen m</t>
    </r>
    <r>
      <rPr>
        <b/>
        <sz val="11"/>
        <color theme="1"/>
        <rFont val="Calibri"/>
        <family val="2"/>
      </rPr>
      <t>³</t>
    </r>
  </si>
  <si>
    <t>Ha.</t>
  </si>
  <si>
    <t>Volumen/ Rodal</t>
  </si>
  <si>
    <t>No. De Parcela</t>
  </si>
  <si>
    <t>Volumen Total</t>
  </si>
  <si>
    <t>Especie y Clase Diametrica</t>
  </si>
  <si>
    <t>ANALISIS ESTADISTICO</t>
  </si>
  <si>
    <t>AREA (Ha.)</t>
  </si>
  <si>
    <t>VALOR DE T</t>
  </si>
  <si>
    <t>No. PARCELAS</t>
  </si>
  <si>
    <t>PARCELA</t>
  </si>
  <si>
    <t>VOLUMEN/ha</t>
  </si>
  <si>
    <t>(VOLUMEN)²</t>
  </si>
  <si>
    <t>PARAMETRO</t>
  </si>
  <si>
    <t>RESULTADO</t>
  </si>
  <si>
    <t>MEDIA ARITMETICA</t>
  </si>
  <si>
    <t xml:space="preserve">VARIANZA </t>
  </si>
  <si>
    <t>DESVIACION ESTANDAR</t>
  </si>
  <si>
    <t>ERROR ESTANDAR</t>
  </si>
  <si>
    <t>ERROR DE MUESTREO</t>
  </si>
  <si>
    <t xml:space="preserve">LIMITE SUPERIOR </t>
  </si>
  <si>
    <t>LIMITE INFERIOR</t>
  </si>
  <si>
    <t>TOTAL</t>
  </si>
  <si>
    <t>10 - 19.9</t>
  </si>
  <si>
    <t>20 - 29.9</t>
  </si>
  <si>
    <t>Aliso</t>
  </si>
  <si>
    <t>area</t>
  </si>
  <si>
    <t>ha.</t>
  </si>
  <si>
    <t>mts.</t>
  </si>
  <si>
    <t>Chulube</t>
  </si>
  <si>
    <t>30 - 39.9</t>
  </si>
  <si>
    <t>Pino triste</t>
  </si>
  <si>
    <t>40 - 49.9</t>
  </si>
  <si>
    <t>Precisión</t>
  </si>
  <si>
    <t>Nombre cientifico</t>
  </si>
  <si>
    <t>Alnus jorullensis</t>
  </si>
  <si>
    <t>Arbutus xalapensis</t>
  </si>
  <si>
    <t>Pinus pseudostrobus</t>
  </si>
  <si>
    <t>X</t>
  </si>
  <si>
    <t>Y</t>
  </si>
  <si>
    <t>AREA PARCELA</t>
  </si>
  <si>
    <t>PROPIETARIO</t>
  </si>
  <si>
    <t>FECHA</t>
  </si>
  <si>
    <t>AREA TOTAL</t>
  </si>
  <si>
    <t>Gregorio Carrillo</t>
  </si>
  <si>
    <t>BASE_DATOS</t>
  </si>
  <si>
    <t>AÑO</t>
  </si>
  <si>
    <t>MUNICIPIO</t>
  </si>
  <si>
    <t>DEPTO</t>
  </si>
  <si>
    <t>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</si>
</sst>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\ &quot;m³&quot;"/>
    <numFmt numFmtId="166" formatCode="#,##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9"/>
      <color theme="1"/>
      <name val="Arial"/>
      <family val="2"/>
    </font>
    <font>
      <sz val="11"/>
      <color rgb="FFFF000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1" fontId="1" fillId="4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1" fontId="0" fillId="4" borderId="1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0" fontId="4" fillId="6" borderId="1" xfId="1" applyFont="1" applyFill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right"/>
    </xf>
    <xf numFmtId="164" fontId="5" fillId="0" borderId="1" xfId="1" applyNumberFormat="1" applyFont="1" applyBorder="1" applyAlignment="1">
      <alignment horizontal="right"/>
    </xf>
    <xf numFmtId="2" fontId="0" fillId="0" borderId="1" xfId="0" applyNumberFormat="1" applyFill="1" applyBorder="1" applyAlignment="1">
      <alignment horizontal="center" vertical="center"/>
    </xf>
    <xf numFmtId="10" fontId="5" fillId="7" borderId="1" xfId="2" applyNumberFormat="1" applyFont="1" applyFill="1" applyBorder="1" applyAlignment="1">
      <alignment horizontal="right"/>
    </xf>
    <xf numFmtId="164" fontId="5" fillId="0" borderId="1" xfId="1" applyNumberFormat="1" applyFon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left"/>
    </xf>
    <xf numFmtId="0" fontId="0" fillId="3" borderId="0" xfId="0" applyFill="1" applyBorder="1"/>
    <xf numFmtId="0" fontId="1" fillId="4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11" borderId="0" xfId="0" applyFill="1"/>
    <xf numFmtId="9" fontId="0" fillId="11" borderId="0" xfId="0" applyNumberFormat="1" applyFill="1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2" borderId="0" xfId="0" applyFont="1" applyFill="1" applyBorder="1" applyAlignment="1">
      <alignment horizontal="center" vertical="center" wrapText="1"/>
    </xf>
    <xf numFmtId="0" fontId="6" fillId="0" borderId="0" xfId="0" applyFont="1" applyBorder="1"/>
    <xf numFmtId="2" fontId="6" fillId="0" borderId="0" xfId="0" applyNumberFormat="1" applyFont="1" applyBorder="1"/>
    <xf numFmtId="0" fontId="9" fillId="8" borderId="0" xfId="0" applyFont="1" applyFill="1" applyBorder="1"/>
    <xf numFmtId="0" fontId="6" fillId="10" borderId="0" xfId="0" applyFont="1" applyFill="1" applyBorder="1"/>
    <xf numFmtId="0" fontId="6" fillId="9" borderId="0" xfId="0" applyFont="1" applyFill="1" applyBorder="1"/>
    <xf numFmtId="0" fontId="6" fillId="0" borderId="0" xfId="0" applyFont="1" applyFill="1" applyBorder="1"/>
    <xf numFmtId="2" fontId="6" fillId="0" borderId="0" xfId="0" applyNumberFormat="1" applyFont="1" applyFill="1" applyBorder="1"/>
    <xf numFmtId="2" fontId="0" fillId="0" borderId="1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166" fontId="4" fillId="6" borderId="1" xfId="1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7" fontId="0" fillId="0" borderId="0" xfId="0" applyNumberFormat="1"/>
    <xf numFmtId="0" fontId="10" fillId="1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Normal" xfId="0" builtinId="0"/>
    <cellStyle name="Normal 2" xfId="1"/>
    <cellStyle name="Porcentaje 2" xfId="2"/>
  </cellStyles>
  <dxfs count="40">
    <dxf>
      <border>
        <bottom style="thin">
          <color indexed="64"/>
        </bottom>
        <horizontal style="thin">
          <color indexed="64"/>
        </horizontal>
      </border>
    </dxf>
    <dxf>
      <alignment horizontal="center" readingOrder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numFmt numFmtId="2" formatCode="0.00"/>
    </dxf>
    <dxf>
      <numFmt numFmtId="1" formatCode="0"/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final" refreshedDate="41767.438293749998" createdVersion="3" refreshedVersion="3" minRefreshableVersion="3" recordCount="78">
  <cacheSource type="worksheet">
    <worksheetSource ref="A1:L79" sheet="base de datos"/>
  </cacheSource>
  <cacheFields count="12">
    <cacheField name="Parcela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No. Arbol" numFmtId="0">
      <sharedItems containsSemiMixedTypes="0" containsString="0" containsNumber="1" containsInteger="1" minValue="1" maxValue="19"/>
    </cacheField>
    <cacheField name="Nombre común" numFmtId="0">
      <sharedItems count="3">
        <s v="Pino triste"/>
        <s v="Chulube"/>
        <s v="Aliso"/>
      </sharedItems>
    </cacheField>
    <cacheField name="Especie" numFmtId="0">
      <sharedItems count="4">
        <s v="Pinus pseudostrobus"/>
        <s v="Arbutus xalapensis"/>
        <s v="Alnus jorullensis"/>
        <s v="Pinus psudostrobus" u="1"/>
      </sharedItems>
    </cacheField>
    <cacheField name="Clase diámetrica" numFmtId="0">
      <sharedItems containsBlank="1" count="5">
        <s v="10 - 19.9"/>
        <s v="20 - 29.9"/>
        <s v="30 - 39.9"/>
        <s v="40 - 49.9"/>
        <m u="1"/>
      </sharedItems>
    </cacheField>
    <cacheField name="DAP (cm)" numFmtId="0">
      <sharedItems containsSemiMixedTypes="0" containsString="0" containsNumber="1" minValue="10" maxValue="40"/>
    </cacheField>
    <cacheField name="Altura (m)" numFmtId="0">
      <sharedItems containsSemiMixedTypes="0" containsString="0" containsNumber="1" containsInteger="1" minValue="6" maxValue="19"/>
    </cacheField>
    <cacheField name="Area Basal (m2)" numFmtId="2">
      <sharedItems containsSemiMixedTypes="0" containsString="0" containsNumber="1" minValue="7.8540000000000016E-3" maxValue="0.12566400000000003"/>
    </cacheField>
    <cacheField name="AB/Ha." numFmtId="2">
      <sharedItems containsSemiMixedTypes="0" containsString="0" containsNumber="1" minValue="3.1416000000000006E-2" maxValue="0.5026560000000001"/>
    </cacheField>
    <cacheField name="Volumen (m3)" numFmtId="2">
      <sharedItems containsSemiMixedTypes="0" containsString="0" containsNumber="1" minValue="3.1898551799999994E-2" maxValue="1.4475084659999999"/>
    </cacheField>
    <cacheField name="Volumen/Ha." numFmtId="2">
      <sharedItems containsSemiMixedTypes="0" containsString="0" containsNumber="1" minValue="0.12759420719999998" maxValue="5.7900338639999998"/>
    </cacheField>
    <cacheField name="Densidad/Ha." numFmtId="2">
      <sharedItems containsSemiMixedTypes="0" containsString="0" containsNumber="1" containsInteger="1" minValue="4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x v="0"/>
    <n v="1"/>
    <x v="0"/>
    <x v="0"/>
    <x v="0"/>
    <n v="12.5"/>
    <n v="6"/>
    <n v="1.2271875E-2"/>
    <n v="4.9087499999999999E-2"/>
    <n v="3.1898551799999994E-2"/>
    <n v="0.12759420719999998"/>
    <n v="4"/>
  </r>
  <r>
    <x v="0"/>
    <n v="2"/>
    <x v="0"/>
    <x v="0"/>
    <x v="1"/>
    <n v="27"/>
    <n v="13"/>
    <n v="5.7255660000000007E-2"/>
    <n v="0.22902264000000003"/>
    <n v="0.27617265719999995"/>
    <n v="1.1046906287999998"/>
    <n v="4"/>
  </r>
  <r>
    <x v="0"/>
    <n v="3"/>
    <x v="0"/>
    <x v="0"/>
    <x v="1"/>
    <n v="23.5"/>
    <n v="15"/>
    <n v="4.3373714999999993E-2"/>
    <n v="0.17349485999999997"/>
    <n v="0.24203950229999999"/>
    <n v="0.96815800919999995"/>
    <n v="4"/>
  </r>
  <r>
    <x v="0"/>
    <n v="4"/>
    <x v="0"/>
    <x v="0"/>
    <x v="0"/>
    <n v="11.5"/>
    <n v="8"/>
    <n v="1.0386915E-2"/>
    <n v="4.154766E-2"/>
    <n v="3.5345478399999998E-2"/>
    <n v="0.14138191359999999"/>
    <n v="4"/>
  </r>
  <r>
    <x v="0"/>
    <n v="5"/>
    <x v="0"/>
    <x v="0"/>
    <x v="2"/>
    <n v="32"/>
    <n v="18"/>
    <n v="8.0424960000000004E-2"/>
    <n v="0.32169984000000001"/>
    <n v="0.53233222319999995"/>
    <n v="2.1293288927999998"/>
    <n v="4"/>
  </r>
  <r>
    <x v="0"/>
    <n v="6"/>
    <x v="1"/>
    <x v="1"/>
    <x v="0"/>
    <n v="18.5"/>
    <n v="9"/>
    <n v="2.6880314999999998E-2"/>
    <n v="0.10752125999999999"/>
    <n v="0.25156581075000001"/>
    <n v="1.006263243"/>
    <n v="4"/>
  </r>
  <r>
    <x v="0"/>
    <n v="7"/>
    <x v="0"/>
    <x v="0"/>
    <x v="0"/>
    <n v="19"/>
    <n v="16"/>
    <n v="2.835294E-2"/>
    <n v="0.11341176"/>
    <n v="0.170304812"/>
    <n v="0.681219248"/>
    <n v="4"/>
  </r>
  <r>
    <x v="0"/>
    <n v="8"/>
    <x v="0"/>
    <x v="0"/>
    <x v="0"/>
    <n v="19"/>
    <n v="14"/>
    <n v="2.835294E-2"/>
    <n v="0.11341176"/>
    <n v="0.14965185759999999"/>
    <n v="0.59860743039999997"/>
    <n v="4"/>
  </r>
  <r>
    <x v="0"/>
    <n v="9"/>
    <x v="0"/>
    <x v="0"/>
    <x v="3"/>
    <n v="40"/>
    <n v="19"/>
    <n v="0.12566400000000003"/>
    <n v="0.5026560000000001"/>
    <n v="0.87467925679999992"/>
    <n v="3.4987170271999997"/>
    <n v="4"/>
  </r>
  <r>
    <x v="0"/>
    <n v="10"/>
    <x v="0"/>
    <x v="0"/>
    <x v="1"/>
    <n v="24"/>
    <n v="18"/>
    <n v="4.5239040000000001E-2"/>
    <n v="0.18095616"/>
    <n v="0.30165989039999996"/>
    <n v="1.2066395615999999"/>
    <n v="4"/>
  </r>
  <r>
    <x v="0"/>
    <n v="11"/>
    <x v="0"/>
    <x v="0"/>
    <x v="1"/>
    <n v="28"/>
    <n v="17"/>
    <n v="6.157536000000001E-2"/>
    <n v="0.24630144000000004"/>
    <n v="0.38633128239999998"/>
    <n v="1.5453251295999999"/>
    <n v="4"/>
  </r>
  <r>
    <x v="0"/>
    <n v="12"/>
    <x v="0"/>
    <x v="0"/>
    <x v="2"/>
    <n v="30.5"/>
    <n v="19"/>
    <n v="7.3061834999999992E-2"/>
    <n v="0.29224733999999997"/>
    <n v="0.51067093549999998"/>
    <n v="2.0426837419999999"/>
    <n v="4"/>
  </r>
  <r>
    <x v="0"/>
    <n v="13"/>
    <x v="0"/>
    <x v="0"/>
    <x v="1"/>
    <n v="29"/>
    <n v="19"/>
    <n v="6.6052139999999995E-2"/>
    <n v="0.26420855999999998"/>
    <n v="0.46216366759999994"/>
    <n v="1.8486546703999998"/>
    <n v="4"/>
  </r>
  <r>
    <x v="0"/>
    <n v="14"/>
    <x v="1"/>
    <x v="1"/>
    <x v="1"/>
    <n v="27"/>
    <n v="12"/>
    <n v="5.7255660000000007E-2"/>
    <n v="0.22902264000000003"/>
    <n v="0.51511051800000007"/>
    <n v="2.0604420720000003"/>
    <n v="4"/>
  </r>
  <r>
    <x v="1"/>
    <n v="1"/>
    <x v="0"/>
    <x v="0"/>
    <x v="2"/>
    <n v="30"/>
    <n v="17"/>
    <n v="7.0685999999999999E-2"/>
    <n v="0.282744"/>
    <n v="0.44274073679999998"/>
    <n v="1.7709629471999999"/>
    <n v="4"/>
  </r>
  <r>
    <x v="1"/>
    <n v="2"/>
    <x v="0"/>
    <x v="0"/>
    <x v="2"/>
    <n v="32"/>
    <n v="16"/>
    <n v="8.0424960000000004E-2"/>
    <n v="0.32169984000000001"/>
    <n v="0.47374877359999995"/>
    <n v="1.8949950943999998"/>
    <n v="4"/>
  </r>
  <r>
    <x v="1"/>
    <n v="3"/>
    <x v="0"/>
    <x v="0"/>
    <x v="2"/>
    <n v="31"/>
    <n v="17"/>
    <n v="7.5476940000000006E-2"/>
    <n v="0.30190776000000002"/>
    <n v="0.47240432919999997"/>
    <n v="1.8896173167999999"/>
    <n v="4"/>
  </r>
  <r>
    <x v="1"/>
    <n v="4"/>
    <x v="0"/>
    <x v="0"/>
    <x v="1"/>
    <n v="25"/>
    <n v="16"/>
    <n v="4.9087499999999999E-2"/>
    <n v="0.19635"/>
    <n v="0.29113317679999995"/>
    <n v="1.1645327071999998"/>
    <n v="4"/>
  </r>
  <r>
    <x v="1"/>
    <n v="5"/>
    <x v="0"/>
    <x v="0"/>
    <x v="0"/>
    <n v="16"/>
    <n v="14"/>
    <n v="2.0106240000000001E-2"/>
    <n v="8.0424960000000004E-2"/>
    <n v="0.1076022136"/>
    <n v="0.43040885439999998"/>
    <n v="4"/>
  </r>
  <r>
    <x v="1"/>
    <n v="6"/>
    <x v="0"/>
    <x v="0"/>
    <x v="1"/>
    <n v="29"/>
    <n v="14"/>
    <n v="6.6052139999999995E-2"/>
    <n v="0.26420855999999998"/>
    <n v="0.34187880159999995"/>
    <n v="1.3675152063999998"/>
    <n v="4"/>
  </r>
  <r>
    <x v="1"/>
    <n v="7"/>
    <x v="1"/>
    <x v="1"/>
    <x v="0"/>
    <n v="12"/>
    <n v="7"/>
    <n v="1.130976E-2"/>
    <n v="4.5239040000000001E-2"/>
    <n v="0.15520825799999999"/>
    <n v="0.62083303199999995"/>
    <n v="4"/>
  </r>
  <r>
    <x v="1"/>
    <n v="8"/>
    <x v="1"/>
    <x v="1"/>
    <x v="0"/>
    <n v="14"/>
    <n v="8"/>
    <n v="1.5393840000000002E-2"/>
    <n v="6.157536000000001E-2"/>
    <n v="0.18124769800000001"/>
    <n v="0.72499079200000005"/>
    <n v="4"/>
  </r>
  <r>
    <x v="1"/>
    <n v="9"/>
    <x v="1"/>
    <x v="1"/>
    <x v="1"/>
    <n v="20"/>
    <n v="15"/>
    <n v="3.1416000000000006E-2"/>
    <n v="0.12566400000000003"/>
    <n v="0.38733126600000001"/>
    <n v="1.549325064"/>
    <n v="4"/>
  </r>
  <r>
    <x v="1"/>
    <n v="10"/>
    <x v="1"/>
    <x v="1"/>
    <x v="0"/>
    <n v="14"/>
    <n v="10"/>
    <n v="1.5393840000000002E-2"/>
    <n v="6.157536000000001E-2"/>
    <n v="0.19947530600000002"/>
    <n v="0.79790122400000008"/>
    <n v="4"/>
  </r>
  <r>
    <x v="1"/>
    <n v="11"/>
    <x v="0"/>
    <x v="0"/>
    <x v="2"/>
    <n v="32"/>
    <n v="16"/>
    <n v="8.0424960000000004E-2"/>
    <n v="0.32169984000000001"/>
    <n v="0.47374877359999995"/>
    <n v="1.8949950943999998"/>
    <n v="4"/>
  </r>
  <r>
    <x v="1"/>
    <n v="12"/>
    <x v="0"/>
    <x v="0"/>
    <x v="2"/>
    <n v="34"/>
    <n v="16"/>
    <n v="9.079224000000001E-2"/>
    <n v="0.36316896000000004"/>
    <n v="0.53416295599999997"/>
    <n v="2.1366518239999999"/>
    <n v="4"/>
  </r>
  <r>
    <x v="1"/>
    <n v="13"/>
    <x v="0"/>
    <x v="0"/>
    <x v="0"/>
    <n v="13"/>
    <n v="11"/>
    <n v="1.3273260000000002E-2"/>
    <n v="5.3093040000000008E-2"/>
    <n v="5.8258243599999995E-2"/>
    <n v="0.23303297439999998"/>
    <n v="4"/>
  </r>
  <r>
    <x v="1"/>
    <n v="14"/>
    <x v="1"/>
    <x v="1"/>
    <x v="0"/>
    <n v="15"/>
    <n v="10"/>
    <n v="1.76715E-2"/>
    <n v="7.0685999999999999E-2"/>
    <n v="0.212960016"/>
    <n v="0.85184006400000001"/>
    <n v="4"/>
  </r>
  <r>
    <x v="1"/>
    <n v="15"/>
    <x v="1"/>
    <x v="1"/>
    <x v="0"/>
    <n v="14"/>
    <n v="10"/>
    <n v="1.5393840000000002E-2"/>
    <n v="6.157536000000001E-2"/>
    <n v="0.19947530600000002"/>
    <n v="0.79790122400000008"/>
    <n v="4"/>
  </r>
  <r>
    <x v="1"/>
    <n v="16"/>
    <x v="0"/>
    <x v="0"/>
    <x v="0"/>
    <n v="14"/>
    <n v="14"/>
    <n v="1.5393840000000002E-2"/>
    <n v="6.157536000000001E-2"/>
    <n v="8.3573845600000002E-2"/>
    <n v="0.33429538240000001"/>
    <n v="4"/>
  </r>
  <r>
    <x v="1"/>
    <n v="17"/>
    <x v="0"/>
    <x v="0"/>
    <x v="0"/>
    <n v="18"/>
    <n v="13"/>
    <n v="2.5446959999999998E-2"/>
    <n v="0.10178783999999999"/>
    <n v="0.12556627919999999"/>
    <n v="0.50226511679999997"/>
    <n v="4"/>
  </r>
  <r>
    <x v="1"/>
    <n v="18"/>
    <x v="0"/>
    <x v="0"/>
    <x v="0"/>
    <n v="19"/>
    <n v="13"/>
    <n v="2.835294E-2"/>
    <n v="0.11341176"/>
    <n v="0.1393253804"/>
    <n v="0.55730152160000002"/>
    <n v="4"/>
  </r>
  <r>
    <x v="1"/>
    <n v="19"/>
    <x v="0"/>
    <x v="0"/>
    <x v="1"/>
    <n v="21"/>
    <n v="15"/>
    <n v="3.4636139999999996E-2"/>
    <n v="0.13854455999999998"/>
    <n v="0.19430457479999999"/>
    <n v="0.77721829919999996"/>
    <n v="4"/>
  </r>
  <r>
    <x v="2"/>
    <n v="1"/>
    <x v="0"/>
    <x v="0"/>
    <x v="1"/>
    <n v="21"/>
    <n v="13"/>
    <n v="3.4636139999999996E-2"/>
    <n v="0.13854455999999998"/>
    <n v="0.16907478839999998"/>
    <n v="0.67629915359999992"/>
    <n v="4"/>
  </r>
  <r>
    <x v="2"/>
    <n v="2"/>
    <x v="0"/>
    <x v="0"/>
    <x v="0"/>
    <n v="17"/>
    <n v="12"/>
    <n v="2.2698060000000003E-2"/>
    <n v="9.079224000000001E-2"/>
    <n v="0.1042840104"/>
    <n v="0.41713604160000001"/>
    <n v="4"/>
  </r>
  <r>
    <x v="2"/>
    <n v="3"/>
    <x v="0"/>
    <x v="0"/>
    <x v="1"/>
    <n v="22"/>
    <n v="17"/>
    <n v="3.8013359999999996E-2"/>
    <n v="0.15205343999999998"/>
    <n v="0.24044476239999998"/>
    <n v="0.96177904959999994"/>
    <n v="4"/>
  </r>
  <r>
    <x v="2"/>
    <n v="4"/>
    <x v="2"/>
    <x v="2"/>
    <x v="1"/>
    <n v="28"/>
    <n v="10"/>
    <n v="6.157536000000001E-2"/>
    <n v="0.24630144000000004"/>
    <n v="0.472889426"/>
    <n v="1.891557704"/>
    <n v="4"/>
  </r>
  <r>
    <x v="2"/>
    <n v="5"/>
    <x v="0"/>
    <x v="0"/>
    <x v="1"/>
    <n v="27"/>
    <n v="17"/>
    <n v="5.7255660000000007E-2"/>
    <n v="0.22902264000000003"/>
    <n v="0.35958542039999997"/>
    <n v="1.4383416815999999"/>
    <n v="4"/>
  </r>
  <r>
    <x v="2"/>
    <n v="6"/>
    <x v="0"/>
    <x v="0"/>
    <x v="1"/>
    <n v="24"/>
    <n v="16"/>
    <n v="4.5239040000000001E-2"/>
    <n v="0.18095616"/>
    <n v="0.26870669999999997"/>
    <n v="1.0748267999999999"/>
    <n v="4"/>
  </r>
  <r>
    <x v="2"/>
    <n v="7"/>
    <x v="0"/>
    <x v="0"/>
    <x v="1"/>
    <n v="20"/>
    <n v="17"/>
    <n v="3.1416000000000006E-2"/>
    <n v="0.12566400000000003"/>
    <n v="0.1995965368"/>
    <n v="0.79838614720000001"/>
    <n v="4"/>
  </r>
  <r>
    <x v="2"/>
    <n v="8"/>
    <x v="0"/>
    <x v="0"/>
    <x v="2"/>
    <n v="31"/>
    <n v="18"/>
    <n v="7.5476940000000006E-2"/>
    <n v="0.30190776000000002"/>
    <n v="0.49989392639999997"/>
    <n v="1.9995757055999999"/>
    <n v="4"/>
  </r>
  <r>
    <x v="2"/>
    <n v="9"/>
    <x v="1"/>
    <x v="1"/>
    <x v="0"/>
    <n v="15"/>
    <n v="11"/>
    <n v="1.76715E-2"/>
    <n v="7.0685999999999999E-2"/>
    <n v="0.223422291"/>
    <n v="0.89368916399999998"/>
    <n v="4"/>
  </r>
  <r>
    <x v="2"/>
    <n v="10"/>
    <x v="0"/>
    <x v="0"/>
    <x v="2"/>
    <n v="31"/>
    <n v="17"/>
    <n v="7.5476940000000006E-2"/>
    <n v="0.30190776000000002"/>
    <n v="0.47240432919999997"/>
    <n v="1.8896173167999999"/>
    <n v="4"/>
  </r>
  <r>
    <x v="2"/>
    <n v="11"/>
    <x v="1"/>
    <x v="1"/>
    <x v="0"/>
    <n v="16"/>
    <n v="11"/>
    <n v="2.0106240000000001E-2"/>
    <n v="8.0424960000000004E-2"/>
    <n v="0.23927845000000003"/>
    <n v="0.95711380000000013"/>
    <n v="4"/>
  </r>
  <r>
    <x v="2"/>
    <n v="12"/>
    <x v="0"/>
    <x v="0"/>
    <x v="1"/>
    <n v="28"/>
    <n v="17"/>
    <n v="6.157536000000001E-2"/>
    <n v="0.24630144000000004"/>
    <n v="0.38633128239999998"/>
    <n v="1.5453251295999999"/>
    <n v="4"/>
  </r>
  <r>
    <x v="2"/>
    <n v="13"/>
    <x v="0"/>
    <x v="0"/>
    <x v="2"/>
    <n v="31"/>
    <n v="18"/>
    <n v="7.5476940000000006E-2"/>
    <n v="0.30190776000000002"/>
    <n v="0.49989392639999997"/>
    <n v="1.9995757055999999"/>
    <n v="4"/>
  </r>
  <r>
    <x v="2"/>
    <n v="14"/>
    <x v="1"/>
    <x v="1"/>
    <x v="1"/>
    <n v="21"/>
    <n v="14"/>
    <n v="3.4636139999999996E-2"/>
    <n v="0.13854455999999998"/>
    <n v="0.395422092"/>
    <n v="1.581688368"/>
    <n v="4"/>
  </r>
  <r>
    <x v="2"/>
    <n v="15"/>
    <x v="1"/>
    <x v="1"/>
    <x v="1"/>
    <n v="20"/>
    <n v="14"/>
    <n v="3.1416000000000006E-2"/>
    <n v="0.12566400000000003"/>
    <n v="0.36873166600000001"/>
    <n v="1.4749266640000001"/>
    <n v="4"/>
  </r>
  <r>
    <x v="2"/>
    <n v="16"/>
    <x v="1"/>
    <x v="1"/>
    <x v="0"/>
    <n v="14"/>
    <n v="9"/>
    <n v="1.5393840000000002E-2"/>
    <n v="6.157536000000001E-2"/>
    <n v="0.19036150200000002"/>
    <n v="0.76144600800000006"/>
    <n v="4"/>
  </r>
  <r>
    <x v="2"/>
    <n v="17"/>
    <x v="0"/>
    <x v="0"/>
    <x v="1"/>
    <n v="20"/>
    <n v="16"/>
    <n v="3.1416000000000006E-2"/>
    <n v="0.12566400000000003"/>
    <n v="0.18815445679999998"/>
    <n v="0.75261782719999992"/>
    <n v="4"/>
  </r>
  <r>
    <x v="2"/>
    <n v="18"/>
    <x v="0"/>
    <x v="0"/>
    <x v="0"/>
    <n v="15"/>
    <n v="14"/>
    <n v="1.76715E-2"/>
    <n v="7.0685999999999999E-2"/>
    <n v="9.5187556800000003E-2"/>
    <n v="0.38075022720000001"/>
    <n v="4"/>
  </r>
  <r>
    <x v="3"/>
    <n v="1"/>
    <x v="1"/>
    <x v="1"/>
    <x v="0"/>
    <n v="15"/>
    <n v="10"/>
    <n v="1.76715E-2"/>
    <n v="7.0685999999999999E-2"/>
    <n v="0.212960016"/>
    <n v="0.85184006400000001"/>
    <n v="4"/>
  </r>
  <r>
    <x v="3"/>
    <n v="2"/>
    <x v="1"/>
    <x v="1"/>
    <x v="0"/>
    <n v="14"/>
    <n v="11"/>
    <n v="1.5393840000000002E-2"/>
    <n v="6.157536000000001E-2"/>
    <n v="0.20858911000000002"/>
    <n v="0.83435644000000009"/>
    <n v="4"/>
  </r>
  <r>
    <x v="3"/>
    <n v="3"/>
    <x v="1"/>
    <x v="1"/>
    <x v="0"/>
    <n v="14"/>
    <n v="13"/>
    <n v="1.5393840000000002E-2"/>
    <n v="6.157536000000001E-2"/>
    <n v="0.22681671800000003"/>
    <n v="0.90726687200000011"/>
    <n v="4"/>
  </r>
  <r>
    <x v="3"/>
    <n v="4"/>
    <x v="0"/>
    <x v="0"/>
    <x v="1"/>
    <n v="25"/>
    <n v="16"/>
    <n v="4.9087499999999999E-2"/>
    <n v="0.19635"/>
    <n v="0.29113317679999995"/>
    <n v="1.1645327071999998"/>
    <n v="4"/>
  </r>
  <r>
    <x v="3"/>
    <n v="5"/>
    <x v="1"/>
    <x v="1"/>
    <x v="0"/>
    <n v="17"/>
    <n v="10"/>
    <n v="2.2698060000000003E-2"/>
    <n v="9.079224000000001E-2"/>
    <n v="0.24271937599999999"/>
    <n v="0.97087750399999995"/>
    <n v="4"/>
  </r>
  <r>
    <x v="3"/>
    <n v="6"/>
    <x v="2"/>
    <x v="2"/>
    <x v="0"/>
    <n v="16"/>
    <n v="11"/>
    <n v="2.0106240000000001E-2"/>
    <n v="8.0424960000000004E-2"/>
    <n v="0.23927845000000003"/>
    <n v="0.95711380000000013"/>
    <n v="4"/>
  </r>
  <r>
    <x v="3"/>
    <n v="7"/>
    <x v="2"/>
    <x v="2"/>
    <x v="0"/>
    <n v="14"/>
    <n v="12"/>
    <n v="1.5393840000000002E-2"/>
    <n v="6.157536000000001E-2"/>
    <n v="0.21770291400000003"/>
    <n v="0.8708116560000001"/>
    <n v="4"/>
  </r>
  <r>
    <x v="3"/>
    <n v="8"/>
    <x v="1"/>
    <x v="1"/>
    <x v="0"/>
    <n v="18"/>
    <n v="13"/>
    <n v="2.5446959999999998E-2"/>
    <n v="0.10178783999999999"/>
    <n v="0.30419105400000002"/>
    <n v="1.2167642160000001"/>
    <n v="4"/>
  </r>
  <r>
    <x v="3"/>
    <n v="9"/>
    <x v="1"/>
    <x v="1"/>
    <x v="0"/>
    <n v="19"/>
    <n v="10"/>
    <n v="2.835294E-2"/>
    <n v="0.11341176"/>
    <n v="0.27619865599999999"/>
    <n v="1.1047946239999999"/>
    <n v="4"/>
  </r>
  <r>
    <x v="3"/>
    <n v="10"/>
    <x v="1"/>
    <x v="1"/>
    <x v="0"/>
    <n v="19"/>
    <n v="15"/>
    <n v="2.835294E-2"/>
    <n v="0.11341176"/>
    <n v="0.36012935099999999"/>
    <n v="1.4405174039999999"/>
    <n v="4"/>
  </r>
  <r>
    <x v="3"/>
    <n v="11"/>
    <x v="1"/>
    <x v="1"/>
    <x v="0"/>
    <n v="15"/>
    <n v="11"/>
    <n v="1.76715E-2"/>
    <n v="7.0685999999999999E-2"/>
    <n v="0.223422291"/>
    <n v="0.89368916399999998"/>
    <n v="4"/>
  </r>
  <r>
    <x v="3"/>
    <n v="12"/>
    <x v="1"/>
    <x v="1"/>
    <x v="0"/>
    <n v="14"/>
    <n v="12"/>
    <n v="1.5393840000000002E-2"/>
    <n v="6.157536000000001E-2"/>
    <n v="0.21770291400000003"/>
    <n v="0.8708116560000001"/>
    <n v="4"/>
  </r>
  <r>
    <x v="3"/>
    <n v="13"/>
    <x v="1"/>
    <x v="1"/>
    <x v="1"/>
    <n v="21"/>
    <n v="13"/>
    <n v="3.4636139999999996E-2"/>
    <n v="0.13854455999999998"/>
    <n v="0.37491603299999998"/>
    <n v="1.4996641319999999"/>
    <n v="4"/>
  </r>
  <r>
    <x v="3"/>
    <n v="14"/>
    <x v="0"/>
    <x v="0"/>
    <x v="1"/>
    <n v="20"/>
    <n v="14"/>
    <n v="3.1416000000000006E-2"/>
    <n v="0.12566400000000003"/>
    <n v="0.16527029679999999"/>
    <n v="0.66108118719999998"/>
    <n v="4"/>
  </r>
  <r>
    <x v="3"/>
    <n v="15"/>
    <x v="1"/>
    <x v="1"/>
    <x v="0"/>
    <n v="15"/>
    <n v="13"/>
    <n v="1.76715E-2"/>
    <n v="7.0685999999999999E-2"/>
    <n v="0.24434684100000004"/>
    <n v="0.97738736400000015"/>
    <n v="4"/>
  </r>
  <r>
    <x v="4"/>
    <n v="1"/>
    <x v="1"/>
    <x v="1"/>
    <x v="0"/>
    <n v="10"/>
    <n v="6"/>
    <n v="7.8540000000000016E-3"/>
    <n v="3.1416000000000006E-2"/>
    <n v="0.13623666600000001"/>
    <n v="0.54494666400000003"/>
    <n v="4"/>
  </r>
  <r>
    <x v="4"/>
    <n v="2"/>
    <x v="0"/>
    <x v="0"/>
    <x v="3"/>
    <n v="40"/>
    <n v="18"/>
    <n v="0.12566400000000003"/>
    <n v="0.5026560000000001"/>
    <n v="1.4475084659999999"/>
    <n v="5.7900338639999998"/>
    <n v="4"/>
  </r>
  <r>
    <x v="4"/>
    <n v="3"/>
    <x v="0"/>
    <x v="0"/>
    <x v="1"/>
    <n v="29"/>
    <n v="14"/>
    <n v="6.6052139999999995E-2"/>
    <n v="0.26420855999999998"/>
    <n v="0.65581649200000003"/>
    <n v="2.6232659680000001"/>
    <n v="4"/>
  </r>
  <r>
    <x v="4"/>
    <n v="4"/>
    <x v="1"/>
    <x v="1"/>
    <x v="0"/>
    <n v="11"/>
    <n v="6"/>
    <n v="9.503339999999999E-3"/>
    <n v="3.8013359999999996E-2"/>
    <n v="0.14209554000000002"/>
    <n v="0.56838216000000008"/>
    <n v="4"/>
  </r>
  <r>
    <x v="4"/>
    <n v="5"/>
    <x v="0"/>
    <x v="0"/>
    <x v="0"/>
    <n v="13"/>
    <n v="8"/>
    <n v="1.3273260000000002E-2"/>
    <n v="5.3093040000000008E-2"/>
    <n v="0.17120391400000001"/>
    <n v="0.68481565600000005"/>
    <n v="4"/>
  </r>
  <r>
    <x v="4"/>
    <n v="6"/>
    <x v="0"/>
    <x v="0"/>
    <x v="2"/>
    <n v="36"/>
    <n v="15"/>
    <n v="0.10178783999999999"/>
    <n v="0.40715135999999996"/>
    <n v="1.012277826"/>
    <n v="4.0491113040000002"/>
    <n v="4"/>
  </r>
  <r>
    <x v="4"/>
    <n v="7"/>
    <x v="1"/>
    <x v="1"/>
    <x v="0"/>
    <n v="10"/>
    <n v="6"/>
    <n v="7.8540000000000016E-3"/>
    <n v="3.1416000000000006E-2"/>
    <n v="0.13623666600000001"/>
    <n v="0.54494666400000003"/>
    <n v="4"/>
  </r>
  <r>
    <x v="4"/>
    <n v="8"/>
    <x v="1"/>
    <x v="1"/>
    <x v="0"/>
    <n v="15"/>
    <n v="8"/>
    <n v="1.76715E-2"/>
    <n v="7.0685999999999999E-2"/>
    <n v="0.19203546599999999"/>
    <n v="0.76814186399999995"/>
    <n v="4"/>
  </r>
  <r>
    <x v="4"/>
    <n v="9"/>
    <x v="0"/>
    <x v="0"/>
    <x v="0"/>
    <n v="13"/>
    <n v="7"/>
    <n v="1.3273260000000002E-2"/>
    <n v="5.3093040000000008E-2"/>
    <n v="0.16334558300000002"/>
    <n v="0.65338233200000007"/>
    <n v="4"/>
  </r>
  <r>
    <x v="4"/>
    <n v="10"/>
    <x v="0"/>
    <x v="0"/>
    <x v="0"/>
    <n v="14"/>
    <n v="8"/>
    <n v="1.5393840000000002E-2"/>
    <n v="6.157536000000001E-2"/>
    <n v="0.18124769800000001"/>
    <n v="0.72499079200000005"/>
    <n v="4"/>
  </r>
  <r>
    <x v="4"/>
    <n v="11"/>
    <x v="0"/>
    <x v="0"/>
    <x v="0"/>
    <n v="13"/>
    <n v="6"/>
    <n v="1.3273260000000002E-2"/>
    <n v="5.3093040000000008E-2"/>
    <n v="0.15548725200000002"/>
    <n v="0.62194900800000008"/>
    <n v="4"/>
  </r>
  <r>
    <x v="4"/>
    <n v="12"/>
    <x v="0"/>
    <x v="0"/>
    <x v="0"/>
    <n v="15"/>
    <n v="9"/>
    <n v="1.76715E-2"/>
    <n v="7.0685999999999999E-2"/>
    <n v="0.20249774100000001"/>
    <n v="0.80999096400000004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5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0" firstHeaderRow="1" firstDataRow="1" firstDataCol="1"/>
  <pivotFields count="12">
    <pivotField showAll="0"/>
    <pivotField dataField="1" showAll="0"/>
    <pivotField axis="axisRow" showAll="0">
      <items count="4">
        <item x="2"/>
        <item x="1"/>
        <item x="0"/>
        <item t="default"/>
      </items>
    </pivotField>
    <pivotField axis="axisRow" showAll="0">
      <items count="5">
        <item m="1" x="3"/>
        <item x="1"/>
        <item x="2"/>
        <item x="0"/>
        <item t="default"/>
      </items>
    </pivotField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</pivotFields>
  <rowFields count="2">
    <field x="3"/>
    <field x="2"/>
  </rowFields>
  <rowItems count="7">
    <i>
      <x v="1"/>
    </i>
    <i r="1">
      <x v="1"/>
    </i>
    <i>
      <x v="2"/>
    </i>
    <i r="1">
      <x/>
    </i>
    <i>
      <x v="3"/>
    </i>
    <i r="1">
      <x v="2"/>
    </i>
    <i t="grand">
      <x/>
    </i>
  </rowItems>
  <colItems count="1">
    <i/>
  </colItems>
  <dataFields count="1">
    <dataField name="Cuenta de No. Arbo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5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F8" firstHeaderRow="1" firstDataRow="2" firstDataCol="1"/>
  <pivotFields count="12">
    <pivotField showAll="0"/>
    <pivotField showAll="0"/>
    <pivotField showAll="0"/>
    <pivotField axis="axisRow" showAll="0">
      <items count="5">
        <item m="1" x="3"/>
        <item x="1"/>
        <item x="2"/>
        <item x="0"/>
        <item t="default"/>
      </items>
    </pivotField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3"/>
  </rowFields>
  <rowItems count="4"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"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3" cacheId="5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No. De Parcela">
  <location ref="A3:F10" firstHeaderRow="1" firstDataRow="2" firstDataCol="1"/>
  <pivotFields count="12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21">
    <format dxfId="3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6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5">
      <pivotArea outline="0" collapsedLevelsAreSubtotals="1" fieldPosition="0"/>
    </format>
    <format dxfId="34">
      <pivotArea field="0" type="button" dataOnly="0" labelOnly="1" outline="0" axis="axisRow" fieldPosition="0"/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grandRow="1" outline="0" fieldPosition="0"/>
    </format>
    <format dxfId="3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0">
      <pivotArea outline="0" collapsedLevelsAreSubtotals="1" fieldPosition="0"/>
    </format>
    <format dxfId="29">
      <pivotArea field="0" type="button" dataOnly="0" labelOnly="1" outline="0" axis="axisRow" fieldPosition="0"/>
    </format>
    <format dxfId="28">
      <pivotArea dataOnly="0" labelOnly="1" fieldPosition="0">
        <references count="1">
          <reference field="0" count="0"/>
        </references>
      </pivotArea>
    </format>
    <format dxfId="27">
      <pivotArea dataOnly="0" labelOnly="1" grandRow="1" outline="0" fieldPosition="0"/>
    </format>
    <format dxfId="2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grandRow="1" outline="0" fieldPosition="0"/>
    </format>
    <format dxfId="2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8">
      <pivotArea grandRow="1" outline="0" collapsedLevelsAreSubtotals="1" fieldPosition="0"/>
    </format>
    <format dxfId="17">
      <pivotArea dataOnly="0" labelOnly="1" grandRow="1" outline="0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4" cacheId="58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rowHeaderCaption="Especie y Clase Diametrica">
  <location ref="A3:F16" firstHeaderRow="1" firstDataRow="2" firstDataCol="1"/>
  <pivotFields count="12">
    <pivotField showAll="0"/>
    <pivotField showAll="0"/>
    <pivotField showAll="0"/>
    <pivotField axis="axisRow" showAll="0">
      <items count="5">
        <item m="1" x="3"/>
        <item x="1"/>
        <item x="2"/>
        <item x="0"/>
        <item t="default"/>
      </items>
    </pivotField>
    <pivotField axis="axisRow" showAll="0">
      <items count="6">
        <item x="0"/>
        <item x="1"/>
        <item x="2"/>
        <item m="1" x="4"/>
        <item x="3"/>
        <item t="default"/>
      </items>
    </pivotField>
    <pivotField dataField="1" showAll="0"/>
    <pivotField dataField="1" showAll="0"/>
    <pivotField numFmtId="2" showAll="0"/>
    <pivotField dataField="1" numFmtId="2" showAll="0"/>
    <pivotField numFmtId="2" showAll="0"/>
    <pivotField dataField="1" numFmtId="2" showAll="0"/>
    <pivotField dataField="1" numFmtId="2" showAll="0"/>
  </pivotFields>
  <rowFields count="2">
    <field x="3"/>
    <field x="4"/>
  </rowFields>
  <rowItems count="12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r="1">
      <x v="2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Densidad/Ha." fld="11" baseField="0" baseItem="0" numFmtId="1"/>
    <dataField name="Promedio de DAP (cm)" fld="5" subtotal="average" baseField="0" baseItem="0" numFmtId="2"/>
    <dataField name="Promedio de Altura (m)" fld="6" subtotal="average" baseField="0" baseItem="0" numFmtId="2"/>
    <dataField name="Suma de AB/Ha." fld="8" baseField="0" baseItem="0" numFmtId="2"/>
    <dataField name="Suma de Volumen/Ha." fld="10" baseField="0" baseItem="0" numFmtId="2"/>
  </dataFields>
  <formats count="17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14">
      <pivotArea field="3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7">
      <pivotArea field="3" type="button" dataOnly="0" labelOnly="1" outline="0" axis="axisRow" fieldPosition="0"/>
    </format>
    <format dxfId="6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5">
      <pivotArea field="3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outline="0" collapsedLevelsAreSubtotals="1" fieldPosition="0"/>
    </format>
    <format dxfId="0">
      <pivotArea field="3" grandRow="1" outline="0" collapsedLevelsAreSubtotals="1" axis="axisRow" fieldPosition="0">
        <references count="1">
          <reference field="4294967294" count="2" selected="0"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zoomScale="78" zoomScaleNormal="78" workbookViewId="0">
      <selection activeCell="Q1" sqref="Q1"/>
    </sheetView>
  </sheetViews>
  <sheetFormatPr baseColWidth="10" defaultColWidth="11.42578125" defaultRowHeight="15" x14ac:dyDescent="0.25"/>
  <cols>
    <col min="1" max="1" width="9.140625" customWidth="1"/>
    <col min="2" max="2" width="9.5703125" customWidth="1"/>
    <col min="3" max="3" width="13" customWidth="1"/>
    <col min="4" max="4" width="24.140625" customWidth="1"/>
  </cols>
  <sheetData>
    <row r="1" spans="1:17" ht="24" x14ac:dyDescent="0.25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54</v>
      </c>
      <c r="N1" s="70"/>
      <c r="O1" s="70"/>
      <c r="Q1">
        <v>1.91</v>
      </c>
    </row>
    <row r="2" spans="1:17" x14ac:dyDescent="0.25">
      <c r="A2" s="70">
        <v>1</v>
      </c>
      <c r="B2" s="70">
        <v>1</v>
      </c>
      <c r="C2" s="70" t="s">
        <v>59</v>
      </c>
      <c r="D2" s="70" t="s">
        <v>65</v>
      </c>
      <c r="E2" s="70" t="s">
        <v>51</v>
      </c>
      <c r="F2" s="70">
        <v>12.5</v>
      </c>
      <c r="G2" s="70">
        <v>6</v>
      </c>
      <c r="H2" s="71">
        <f t="shared" ref="H2:H3" si="0">0.7854*(F2/100)^2</f>
        <v>1.2271875E-2</v>
      </c>
      <c r="I2" s="71">
        <f>H2*1/$O$3</f>
        <v>4.9087499999999999E-2</v>
      </c>
      <c r="J2" s="71">
        <f>(0.0050811768+0.0000286052*(F2^2*G2))</f>
        <v>3.1898551799999994E-2</v>
      </c>
      <c r="K2" s="71">
        <f>J2/$O$3</f>
        <v>0.12759420719999998</v>
      </c>
      <c r="L2" s="71">
        <f>1*1/$O$3</f>
        <v>4</v>
      </c>
      <c r="M2" s="70"/>
      <c r="N2" s="72" t="s">
        <v>56</v>
      </c>
      <c r="O2" s="72" t="s">
        <v>55</v>
      </c>
    </row>
    <row r="3" spans="1:17" x14ac:dyDescent="0.25">
      <c r="A3" s="70">
        <v>1</v>
      </c>
      <c r="B3" s="70">
        <v>2</v>
      </c>
      <c r="C3" s="70" t="s">
        <v>59</v>
      </c>
      <c r="D3" s="70" t="s">
        <v>65</v>
      </c>
      <c r="E3" s="70" t="s">
        <v>52</v>
      </c>
      <c r="F3" s="70">
        <v>27</v>
      </c>
      <c r="G3" s="70">
        <v>13</v>
      </c>
      <c r="H3" s="71">
        <f t="shared" si="0"/>
        <v>5.7255660000000007E-2</v>
      </c>
      <c r="I3" s="71">
        <f t="shared" ref="I3:I56" si="1">H3*1/$O$3</f>
        <v>0.22902264000000003</v>
      </c>
      <c r="J3" s="71">
        <f t="shared" ref="J3:J6" si="2">(0.0050811768+0.0000286052*(F3^2*G3))</f>
        <v>0.27617265719999995</v>
      </c>
      <c r="K3" s="71">
        <f t="shared" ref="K3:K66" si="3">J3/$O$3</f>
        <v>1.1046906287999998</v>
      </c>
      <c r="L3" s="71">
        <f t="shared" ref="L3:L56" si="4">1*1/$O$3</f>
        <v>4</v>
      </c>
      <c r="M3" s="70"/>
      <c r="N3" s="73">
        <v>2500</v>
      </c>
      <c r="O3" s="74">
        <f>N3/10000</f>
        <v>0.25</v>
      </c>
    </row>
    <row r="4" spans="1:17" x14ac:dyDescent="0.25">
      <c r="A4" s="70">
        <v>1</v>
      </c>
      <c r="B4" s="70">
        <v>3</v>
      </c>
      <c r="C4" s="70" t="s">
        <v>59</v>
      </c>
      <c r="D4" s="70" t="s">
        <v>65</v>
      </c>
      <c r="E4" s="70" t="s">
        <v>52</v>
      </c>
      <c r="F4" s="70">
        <v>23.5</v>
      </c>
      <c r="G4" s="70">
        <v>15</v>
      </c>
      <c r="H4" s="71">
        <f t="shared" ref="H4:H43" si="5">0.7854*(F4/100)^2</f>
        <v>4.3373714999999993E-2</v>
      </c>
      <c r="I4" s="71">
        <f t="shared" si="1"/>
        <v>0.17349485999999997</v>
      </c>
      <c r="J4" s="71">
        <f t="shared" si="2"/>
        <v>0.24203950229999999</v>
      </c>
      <c r="K4" s="71">
        <f t="shared" si="3"/>
        <v>0.96815800919999995</v>
      </c>
      <c r="L4" s="71">
        <f t="shared" si="4"/>
        <v>4</v>
      </c>
      <c r="M4" s="70"/>
      <c r="N4" s="70"/>
      <c r="O4" s="70"/>
    </row>
    <row r="5" spans="1:17" x14ac:dyDescent="0.25">
      <c r="A5" s="70">
        <v>1</v>
      </c>
      <c r="B5" s="70">
        <v>4</v>
      </c>
      <c r="C5" s="70" t="s">
        <v>59</v>
      </c>
      <c r="D5" s="70" t="s">
        <v>65</v>
      </c>
      <c r="E5" s="70" t="s">
        <v>51</v>
      </c>
      <c r="F5" s="70">
        <v>11.5</v>
      </c>
      <c r="G5" s="70">
        <v>8</v>
      </c>
      <c r="H5" s="71">
        <f t="shared" si="5"/>
        <v>1.0386915E-2</v>
      </c>
      <c r="I5" s="71">
        <f t="shared" si="1"/>
        <v>4.154766E-2</v>
      </c>
      <c r="J5" s="71">
        <f t="shared" si="2"/>
        <v>3.5345478399999998E-2</v>
      </c>
      <c r="K5" s="71">
        <f t="shared" si="3"/>
        <v>0.14138191359999999</v>
      </c>
      <c r="L5" s="71">
        <f t="shared" si="4"/>
        <v>4</v>
      </c>
      <c r="M5" s="70"/>
      <c r="N5" s="70"/>
      <c r="O5" s="70"/>
    </row>
    <row r="6" spans="1:17" x14ac:dyDescent="0.25">
      <c r="A6" s="70">
        <v>1</v>
      </c>
      <c r="B6" s="70">
        <v>5</v>
      </c>
      <c r="C6" s="70" t="s">
        <v>59</v>
      </c>
      <c r="D6" s="70" t="s">
        <v>65</v>
      </c>
      <c r="E6" s="70" t="s">
        <v>58</v>
      </c>
      <c r="F6" s="70">
        <v>32</v>
      </c>
      <c r="G6" s="70">
        <v>18</v>
      </c>
      <c r="H6" s="71">
        <f t="shared" si="5"/>
        <v>8.0424960000000004E-2</v>
      </c>
      <c r="I6" s="71">
        <f t="shared" si="1"/>
        <v>0.32169984000000001</v>
      </c>
      <c r="J6" s="71">
        <f t="shared" si="2"/>
        <v>0.53233222319999995</v>
      </c>
      <c r="K6" s="71">
        <f t="shared" si="3"/>
        <v>2.1293288927999998</v>
      </c>
      <c r="L6" s="71">
        <f t="shared" si="4"/>
        <v>4</v>
      </c>
      <c r="M6" s="70"/>
      <c r="N6" s="70"/>
      <c r="O6" s="70"/>
    </row>
    <row r="7" spans="1:17" x14ac:dyDescent="0.25">
      <c r="A7" s="70">
        <v>1</v>
      </c>
      <c r="B7" s="70">
        <v>6</v>
      </c>
      <c r="C7" s="70" t="s">
        <v>57</v>
      </c>
      <c r="D7" s="68" t="s">
        <v>64</v>
      </c>
      <c r="E7" s="70" t="s">
        <v>51</v>
      </c>
      <c r="F7" s="70">
        <v>18.5</v>
      </c>
      <c r="G7" s="70">
        <v>9</v>
      </c>
      <c r="H7" s="71">
        <f t="shared" si="5"/>
        <v>2.6880314999999998E-2</v>
      </c>
      <c r="I7" s="71">
        <f t="shared" si="1"/>
        <v>0.10752125999999999</v>
      </c>
      <c r="J7" s="71">
        <f t="shared" ref="J7" si="6">(0.108337266+0.000046499*(F7^2*G7))</f>
        <v>0.25156581075000001</v>
      </c>
      <c r="K7" s="71">
        <f t="shared" si="3"/>
        <v>1.006263243</v>
      </c>
      <c r="L7" s="71">
        <f t="shared" si="4"/>
        <v>4</v>
      </c>
      <c r="M7" s="70"/>
      <c r="N7" s="70"/>
      <c r="O7" s="70"/>
    </row>
    <row r="8" spans="1:17" x14ac:dyDescent="0.25">
      <c r="A8" s="70">
        <v>1</v>
      </c>
      <c r="B8" s="70">
        <v>7</v>
      </c>
      <c r="C8" s="70" t="s">
        <v>59</v>
      </c>
      <c r="D8" s="70" t="s">
        <v>65</v>
      </c>
      <c r="E8" s="70" t="s">
        <v>51</v>
      </c>
      <c r="F8" s="70">
        <v>19</v>
      </c>
      <c r="G8" s="70">
        <v>16</v>
      </c>
      <c r="H8" s="71">
        <f t="shared" si="5"/>
        <v>2.835294E-2</v>
      </c>
      <c r="I8" s="71">
        <f t="shared" si="1"/>
        <v>0.11341176</v>
      </c>
      <c r="J8" s="71">
        <f t="shared" ref="J8:J14" si="7">(0.0050811768+0.0000286052*(F8^2*G8))</f>
        <v>0.170304812</v>
      </c>
      <c r="K8" s="71">
        <f t="shared" si="3"/>
        <v>0.681219248</v>
      </c>
      <c r="L8" s="71">
        <f t="shared" si="4"/>
        <v>4</v>
      </c>
      <c r="M8" s="70"/>
      <c r="N8" s="70"/>
      <c r="O8" s="70"/>
    </row>
    <row r="9" spans="1:17" x14ac:dyDescent="0.25">
      <c r="A9" s="70">
        <v>1</v>
      </c>
      <c r="B9" s="70">
        <v>8</v>
      </c>
      <c r="C9" s="70" t="s">
        <v>59</v>
      </c>
      <c r="D9" s="70" t="s">
        <v>65</v>
      </c>
      <c r="E9" s="70" t="s">
        <v>51</v>
      </c>
      <c r="F9" s="70">
        <v>19</v>
      </c>
      <c r="G9" s="70">
        <v>14</v>
      </c>
      <c r="H9" s="71">
        <f t="shared" si="5"/>
        <v>2.835294E-2</v>
      </c>
      <c r="I9" s="71">
        <f t="shared" si="1"/>
        <v>0.11341176</v>
      </c>
      <c r="J9" s="71">
        <f t="shared" si="7"/>
        <v>0.14965185759999999</v>
      </c>
      <c r="K9" s="71">
        <f t="shared" si="3"/>
        <v>0.59860743039999997</v>
      </c>
      <c r="L9" s="71">
        <f t="shared" si="4"/>
        <v>4</v>
      </c>
      <c r="M9" s="70"/>
      <c r="N9" s="70"/>
      <c r="O9" s="70"/>
    </row>
    <row r="10" spans="1:17" x14ac:dyDescent="0.25">
      <c r="A10" s="70">
        <v>1</v>
      </c>
      <c r="B10" s="70">
        <v>9</v>
      </c>
      <c r="C10" s="70" t="s">
        <v>59</v>
      </c>
      <c r="D10" s="70" t="s">
        <v>65</v>
      </c>
      <c r="E10" s="70" t="s">
        <v>60</v>
      </c>
      <c r="F10" s="70">
        <v>40</v>
      </c>
      <c r="G10" s="70">
        <v>19</v>
      </c>
      <c r="H10" s="71">
        <f t="shared" si="5"/>
        <v>0.12566400000000003</v>
      </c>
      <c r="I10" s="71">
        <f t="shared" si="1"/>
        <v>0.5026560000000001</v>
      </c>
      <c r="J10" s="71">
        <f t="shared" si="7"/>
        <v>0.87467925679999992</v>
      </c>
      <c r="K10" s="71">
        <f t="shared" si="3"/>
        <v>3.4987170271999997</v>
      </c>
      <c r="L10" s="71">
        <f t="shared" si="4"/>
        <v>4</v>
      </c>
      <c r="M10" s="70"/>
      <c r="N10" s="70"/>
      <c r="O10" s="70"/>
    </row>
    <row r="11" spans="1:17" x14ac:dyDescent="0.25">
      <c r="A11" s="70">
        <v>1</v>
      </c>
      <c r="B11" s="70">
        <v>10</v>
      </c>
      <c r="C11" s="70" t="s">
        <v>59</v>
      </c>
      <c r="D11" s="70" t="s">
        <v>65</v>
      </c>
      <c r="E11" s="70" t="s">
        <v>52</v>
      </c>
      <c r="F11" s="70">
        <v>24</v>
      </c>
      <c r="G11" s="70">
        <v>18</v>
      </c>
      <c r="H11" s="71">
        <f t="shared" si="5"/>
        <v>4.5239040000000001E-2</v>
      </c>
      <c r="I11" s="71">
        <f t="shared" si="1"/>
        <v>0.18095616</v>
      </c>
      <c r="J11" s="71">
        <f t="shared" si="7"/>
        <v>0.30165989039999996</v>
      </c>
      <c r="K11" s="71">
        <f t="shared" si="3"/>
        <v>1.2066395615999999</v>
      </c>
      <c r="L11" s="71">
        <f t="shared" si="4"/>
        <v>4</v>
      </c>
      <c r="M11" s="70"/>
      <c r="N11" s="67"/>
      <c r="O11" s="67"/>
    </row>
    <row r="12" spans="1:17" x14ac:dyDescent="0.25">
      <c r="A12" s="70">
        <v>1</v>
      </c>
      <c r="B12" s="70">
        <v>11</v>
      </c>
      <c r="C12" s="70" t="s">
        <v>59</v>
      </c>
      <c r="D12" s="70" t="s">
        <v>65</v>
      </c>
      <c r="E12" s="70" t="s">
        <v>52</v>
      </c>
      <c r="F12" s="70">
        <v>28</v>
      </c>
      <c r="G12" s="70">
        <v>17</v>
      </c>
      <c r="H12" s="71">
        <f t="shared" si="5"/>
        <v>6.157536000000001E-2</v>
      </c>
      <c r="I12" s="71">
        <f t="shared" si="1"/>
        <v>0.24630144000000004</v>
      </c>
      <c r="J12" s="71">
        <f t="shared" si="7"/>
        <v>0.38633128239999998</v>
      </c>
      <c r="K12" s="71">
        <f t="shared" si="3"/>
        <v>1.5453251295999999</v>
      </c>
      <c r="L12" s="71">
        <f t="shared" si="4"/>
        <v>4</v>
      </c>
      <c r="M12" s="70"/>
      <c r="N12" s="67"/>
      <c r="O12" s="67"/>
    </row>
    <row r="13" spans="1:17" x14ac:dyDescent="0.25">
      <c r="A13" s="70">
        <v>1</v>
      </c>
      <c r="B13" s="70">
        <v>12</v>
      </c>
      <c r="C13" s="70" t="s">
        <v>59</v>
      </c>
      <c r="D13" s="70" t="s">
        <v>65</v>
      </c>
      <c r="E13" s="70" t="s">
        <v>58</v>
      </c>
      <c r="F13" s="70">
        <v>30.5</v>
      </c>
      <c r="G13" s="70">
        <v>19</v>
      </c>
      <c r="H13" s="71">
        <f t="shared" si="5"/>
        <v>7.3061834999999992E-2</v>
      </c>
      <c r="I13" s="71">
        <f t="shared" si="1"/>
        <v>0.29224733999999997</v>
      </c>
      <c r="J13" s="71">
        <f t="shared" si="7"/>
        <v>0.51067093549999998</v>
      </c>
      <c r="K13" s="71">
        <f t="shared" si="3"/>
        <v>2.0426837419999999</v>
      </c>
      <c r="L13" s="71">
        <f t="shared" si="4"/>
        <v>4</v>
      </c>
      <c r="M13" s="70"/>
      <c r="N13" s="67"/>
      <c r="O13" s="67"/>
    </row>
    <row r="14" spans="1:17" x14ac:dyDescent="0.25">
      <c r="A14" s="70">
        <v>1</v>
      </c>
      <c r="B14" s="70">
        <v>13</v>
      </c>
      <c r="C14" s="70" t="s">
        <v>59</v>
      </c>
      <c r="D14" s="70" t="s">
        <v>65</v>
      </c>
      <c r="E14" s="70" t="s">
        <v>52</v>
      </c>
      <c r="F14" s="70">
        <v>29</v>
      </c>
      <c r="G14" s="70">
        <v>19</v>
      </c>
      <c r="H14" s="71">
        <f t="shared" si="5"/>
        <v>6.6052139999999995E-2</v>
      </c>
      <c r="I14" s="71">
        <f t="shared" si="1"/>
        <v>0.26420855999999998</v>
      </c>
      <c r="J14" s="71">
        <f t="shared" si="7"/>
        <v>0.46216366759999994</v>
      </c>
      <c r="K14" s="71">
        <f t="shared" si="3"/>
        <v>1.8486546703999998</v>
      </c>
      <c r="L14" s="71">
        <f t="shared" si="4"/>
        <v>4</v>
      </c>
      <c r="M14" s="70"/>
      <c r="N14" s="67"/>
      <c r="O14" s="67"/>
    </row>
    <row r="15" spans="1:17" x14ac:dyDescent="0.25">
      <c r="A15" s="70">
        <v>1</v>
      </c>
      <c r="B15" s="70">
        <v>14</v>
      </c>
      <c r="C15" s="70" t="s">
        <v>57</v>
      </c>
      <c r="D15" s="68" t="s">
        <v>64</v>
      </c>
      <c r="E15" s="70" t="s">
        <v>52</v>
      </c>
      <c r="F15" s="70">
        <v>27</v>
      </c>
      <c r="G15" s="70">
        <v>12</v>
      </c>
      <c r="H15" s="71">
        <f t="shared" si="5"/>
        <v>5.7255660000000007E-2</v>
      </c>
      <c r="I15" s="71">
        <f t="shared" si="1"/>
        <v>0.22902264000000003</v>
      </c>
      <c r="J15" s="71">
        <f t="shared" ref="J15" si="8">(0.108337266+0.000046499*(F15^2*G15))</f>
        <v>0.51511051800000007</v>
      </c>
      <c r="K15" s="71">
        <f t="shared" si="3"/>
        <v>2.0604420720000003</v>
      </c>
      <c r="L15" s="71">
        <f t="shared" si="4"/>
        <v>4</v>
      </c>
      <c r="M15" s="70"/>
      <c r="N15" s="67"/>
      <c r="O15" s="67"/>
    </row>
    <row r="16" spans="1:17" x14ac:dyDescent="0.25">
      <c r="A16" s="70">
        <v>2</v>
      </c>
      <c r="B16" s="70">
        <v>1</v>
      </c>
      <c r="C16" s="70" t="s">
        <v>59</v>
      </c>
      <c r="D16" s="70" t="s">
        <v>65</v>
      </c>
      <c r="E16" s="70" t="s">
        <v>58</v>
      </c>
      <c r="F16" s="70">
        <v>30</v>
      </c>
      <c r="G16" s="70">
        <v>17</v>
      </c>
      <c r="H16" s="71">
        <f t="shared" si="5"/>
        <v>7.0685999999999999E-2</v>
      </c>
      <c r="I16" s="71">
        <f t="shared" si="1"/>
        <v>0.282744</v>
      </c>
      <c r="J16" s="71">
        <f t="shared" ref="J16:J21" si="9">(0.0050811768+0.0000286052*(F16^2*G16))</f>
        <v>0.44274073679999998</v>
      </c>
      <c r="K16" s="71">
        <f t="shared" si="3"/>
        <v>1.7709629471999999</v>
      </c>
      <c r="L16" s="71">
        <f t="shared" si="4"/>
        <v>4</v>
      </c>
      <c r="M16" s="70"/>
      <c r="N16" s="70"/>
      <c r="O16" s="70"/>
    </row>
    <row r="17" spans="1:15" x14ac:dyDescent="0.25">
      <c r="A17" s="70">
        <v>2</v>
      </c>
      <c r="B17" s="70">
        <v>2</v>
      </c>
      <c r="C17" s="70" t="s">
        <v>59</v>
      </c>
      <c r="D17" s="70" t="s">
        <v>65</v>
      </c>
      <c r="E17" s="70" t="s">
        <v>58</v>
      </c>
      <c r="F17" s="70">
        <v>32</v>
      </c>
      <c r="G17" s="70">
        <v>16</v>
      </c>
      <c r="H17" s="71">
        <f t="shared" si="5"/>
        <v>8.0424960000000004E-2</v>
      </c>
      <c r="I17" s="71">
        <f t="shared" si="1"/>
        <v>0.32169984000000001</v>
      </c>
      <c r="J17" s="71">
        <f t="shared" si="9"/>
        <v>0.47374877359999995</v>
      </c>
      <c r="K17" s="71">
        <f t="shared" si="3"/>
        <v>1.8949950943999998</v>
      </c>
      <c r="L17" s="71">
        <f t="shared" si="4"/>
        <v>4</v>
      </c>
      <c r="M17" s="70"/>
      <c r="N17" s="70"/>
      <c r="O17" s="70"/>
    </row>
    <row r="18" spans="1:15" x14ac:dyDescent="0.25">
      <c r="A18" s="70">
        <v>2</v>
      </c>
      <c r="B18" s="70">
        <v>3</v>
      </c>
      <c r="C18" s="70" t="s">
        <v>59</v>
      </c>
      <c r="D18" s="70" t="s">
        <v>65</v>
      </c>
      <c r="E18" s="70" t="s">
        <v>58</v>
      </c>
      <c r="F18" s="70">
        <v>31</v>
      </c>
      <c r="G18" s="70">
        <v>17</v>
      </c>
      <c r="H18" s="71">
        <f t="shared" si="5"/>
        <v>7.5476940000000006E-2</v>
      </c>
      <c r="I18" s="71">
        <f t="shared" si="1"/>
        <v>0.30190776000000002</v>
      </c>
      <c r="J18" s="71">
        <f t="shared" si="9"/>
        <v>0.47240432919999997</v>
      </c>
      <c r="K18" s="71">
        <f t="shared" si="3"/>
        <v>1.8896173167999999</v>
      </c>
      <c r="L18" s="71">
        <f t="shared" si="4"/>
        <v>4</v>
      </c>
      <c r="M18" s="70"/>
      <c r="N18" s="70"/>
      <c r="O18" s="70"/>
    </row>
    <row r="19" spans="1:15" x14ac:dyDescent="0.25">
      <c r="A19" s="70">
        <v>2</v>
      </c>
      <c r="B19" s="70">
        <v>4</v>
      </c>
      <c r="C19" s="70" t="s">
        <v>59</v>
      </c>
      <c r="D19" s="70" t="s">
        <v>65</v>
      </c>
      <c r="E19" s="70" t="s">
        <v>52</v>
      </c>
      <c r="F19" s="70">
        <v>25</v>
      </c>
      <c r="G19" s="70">
        <v>16</v>
      </c>
      <c r="H19" s="71">
        <f t="shared" si="5"/>
        <v>4.9087499999999999E-2</v>
      </c>
      <c r="I19" s="71">
        <f t="shared" si="1"/>
        <v>0.19635</v>
      </c>
      <c r="J19" s="71">
        <f t="shared" si="9"/>
        <v>0.29113317679999995</v>
      </c>
      <c r="K19" s="71">
        <f t="shared" si="3"/>
        <v>1.1645327071999998</v>
      </c>
      <c r="L19" s="71">
        <f t="shared" si="4"/>
        <v>4</v>
      </c>
      <c r="M19" s="70"/>
      <c r="N19" s="70"/>
      <c r="O19" s="70"/>
    </row>
    <row r="20" spans="1:15" x14ac:dyDescent="0.25">
      <c r="A20" s="70">
        <v>2</v>
      </c>
      <c r="B20" s="70">
        <v>5</v>
      </c>
      <c r="C20" s="70" t="s">
        <v>59</v>
      </c>
      <c r="D20" s="70" t="s">
        <v>65</v>
      </c>
      <c r="E20" s="70" t="s">
        <v>51</v>
      </c>
      <c r="F20" s="70">
        <v>16</v>
      </c>
      <c r="G20" s="70">
        <v>14</v>
      </c>
      <c r="H20" s="71">
        <f t="shared" si="5"/>
        <v>2.0106240000000001E-2</v>
      </c>
      <c r="I20" s="71">
        <f t="shared" si="1"/>
        <v>8.0424960000000004E-2</v>
      </c>
      <c r="J20" s="71">
        <f t="shared" si="9"/>
        <v>0.1076022136</v>
      </c>
      <c r="K20" s="71">
        <f t="shared" si="3"/>
        <v>0.43040885439999998</v>
      </c>
      <c r="L20" s="71">
        <f t="shared" si="4"/>
        <v>4</v>
      </c>
      <c r="M20" s="70"/>
      <c r="N20" s="70"/>
      <c r="O20" s="70"/>
    </row>
    <row r="21" spans="1:15" x14ac:dyDescent="0.25">
      <c r="A21" s="70">
        <v>2</v>
      </c>
      <c r="B21" s="70">
        <v>6</v>
      </c>
      <c r="C21" s="70" t="s">
        <v>59</v>
      </c>
      <c r="D21" s="70" t="s">
        <v>65</v>
      </c>
      <c r="E21" s="70" t="s">
        <v>52</v>
      </c>
      <c r="F21" s="70">
        <v>29</v>
      </c>
      <c r="G21" s="70">
        <v>14</v>
      </c>
      <c r="H21" s="71">
        <f t="shared" si="5"/>
        <v>6.6052139999999995E-2</v>
      </c>
      <c r="I21" s="71">
        <f t="shared" si="1"/>
        <v>0.26420855999999998</v>
      </c>
      <c r="J21" s="71">
        <f t="shared" si="9"/>
        <v>0.34187880159999995</v>
      </c>
      <c r="K21" s="71">
        <f t="shared" si="3"/>
        <v>1.3675152063999998</v>
      </c>
      <c r="L21" s="71">
        <f t="shared" si="4"/>
        <v>4</v>
      </c>
      <c r="M21" s="70"/>
      <c r="N21" s="70"/>
      <c r="O21" s="70"/>
    </row>
    <row r="22" spans="1:15" x14ac:dyDescent="0.25">
      <c r="A22" s="70">
        <v>2</v>
      </c>
      <c r="B22" s="70">
        <v>7</v>
      </c>
      <c r="C22" s="70" t="s">
        <v>57</v>
      </c>
      <c r="D22" s="68" t="s">
        <v>64</v>
      </c>
      <c r="E22" s="70" t="s">
        <v>51</v>
      </c>
      <c r="F22" s="70">
        <v>12</v>
      </c>
      <c r="G22" s="70">
        <v>7</v>
      </c>
      <c r="H22" s="71">
        <f t="shared" si="5"/>
        <v>1.130976E-2</v>
      </c>
      <c r="I22" s="71">
        <f t="shared" si="1"/>
        <v>4.5239040000000001E-2</v>
      </c>
      <c r="J22" s="71">
        <f t="shared" ref="J22:J25" si="10">(0.108337266+0.000046499*(F22^2*G22))</f>
        <v>0.15520825799999999</v>
      </c>
      <c r="K22" s="71">
        <f t="shared" si="3"/>
        <v>0.62083303199999995</v>
      </c>
      <c r="L22" s="71">
        <f t="shared" si="4"/>
        <v>4</v>
      </c>
      <c r="M22" s="70"/>
      <c r="N22" s="70"/>
      <c r="O22" s="70"/>
    </row>
    <row r="23" spans="1:15" x14ac:dyDescent="0.25">
      <c r="A23" s="70">
        <v>2</v>
      </c>
      <c r="B23" s="70">
        <v>8</v>
      </c>
      <c r="C23" s="70" t="s">
        <v>57</v>
      </c>
      <c r="D23" s="68" t="s">
        <v>64</v>
      </c>
      <c r="E23" s="70" t="s">
        <v>51</v>
      </c>
      <c r="F23" s="70">
        <v>14</v>
      </c>
      <c r="G23" s="70">
        <v>8</v>
      </c>
      <c r="H23" s="71">
        <f t="shared" si="5"/>
        <v>1.5393840000000002E-2</v>
      </c>
      <c r="I23" s="71">
        <f t="shared" si="1"/>
        <v>6.157536000000001E-2</v>
      </c>
      <c r="J23" s="71">
        <f t="shared" si="10"/>
        <v>0.18124769800000001</v>
      </c>
      <c r="K23" s="71">
        <f t="shared" si="3"/>
        <v>0.72499079200000005</v>
      </c>
      <c r="L23" s="71">
        <f t="shared" si="4"/>
        <v>4</v>
      </c>
      <c r="M23" s="70"/>
      <c r="N23" s="70"/>
      <c r="O23" s="70"/>
    </row>
    <row r="24" spans="1:15" x14ac:dyDescent="0.25">
      <c r="A24" s="70">
        <v>2</v>
      </c>
      <c r="B24" s="70">
        <v>9</v>
      </c>
      <c r="C24" s="70" t="s">
        <v>57</v>
      </c>
      <c r="D24" s="68" t="s">
        <v>64</v>
      </c>
      <c r="E24" s="70" t="s">
        <v>52</v>
      </c>
      <c r="F24" s="70">
        <v>20</v>
      </c>
      <c r="G24" s="70">
        <v>15</v>
      </c>
      <c r="H24" s="71">
        <f t="shared" si="5"/>
        <v>3.1416000000000006E-2</v>
      </c>
      <c r="I24" s="71">
        <f t="shared" si="1"/>
        <v>0.12566400000000003</v>
      </c>
      <c r="J24" s="71">
        <f t="shared" si="10"/>
        <v>0.38733126600000001</v>
      </c>
      <c r="K24" s="71">
        <f t="shared" si="3"/>
        <v>1.549325064</v>
      </c>
      <c r="L24" s="71">
        <f t="shared" si="4"/>
        <v>4</v>
      </c>
      <c r="M24" s="70"/>
      <c r="N24" s="70"/>
      <c r="O24" s="70"/>
    </row>
    <row r="25" spans="1:15" x14ac:dyDescent="0.25">
      <c r="A25" s="70">
        <v>2</v>
      </c>
      <c r="B25" s="70">
        <v>10</v>
      </c>
      <c r="C25" s="70" t="s">
        <v>57</v>
      </c>
      <c r="D25" s="68" t="s">
        <v>64</v>
      </c>
      <c r="E25" s="70" t="s">
        <v>51</v>
      </c>
      <c r="F25" s="70">
        <v>14</v>
      </c>
      <c r="G25" s="70">
        <v>10</v>
      </c>
      <c r="H25" s="71">
        <f t="shared" si="5"/>
        <v>1.5393840000000002E-2</v>
      </c>
      <c r="I25" s="71">
        <f t="shared" si="1"/>
        <v>6.157536000000001E-2</v>
      </c>
      <c r="J25" s="71">
        <f t="shared" si="10"/>
        <v>0.19947530600000002</v>
      </c>
      <c r="K25" s="71">
        <f t="shared" si="3"/>
        <v>0.79790122400000008</v>
      </c>
      <c r="L25" s="71">
        <f t="shared" si="4"/>
        <v>4</v>
      </c>
      <c r="M25" s="70"/>
      <c r="N25" s="70"/>
      <c r="O25" s="70"/>
    </row>
    <row r="26" spans="1:15" x14ac:dyDescent="0.25">
      <c r="A26" s="70">
        <v>2</v>
      </c>
      <c r="B26" s="70">
        <v>11</v>
      </c>
      <c r="C26" s="70" t="s">
        <v>59</v>
      </c>
      <c r="D26" s="70" t="s">
        <v>65</v>
      </c>
      <c r="E26" s="70" t="s">
        <v>58</v>
      </c>
      <c r="F26" s="70">
        <v>32</v>
      </c>
      <c r="G26" s="70">
        <v>16</v>
      </c>
      <c r="H26" s="71">
        <f t="shared" si="5"/>
        <v>8.0424960000000004E-2</v>
      </c>
      <c r="I26" s="71">
        <f t="shared" si="1"/>
        <v>0.32169984000000001</v>
      </c>
      <c r="J26" s="71">
        <f t="shared" ref="J26:J28" si="11">(0.0050811768+0.0000286052*(F26^2*G26))</f>
        <v>0.47374877359999995</v>
      </c>
      <c r="K26" s="71">
        <f t="shared" si="3"/>
        <v>1.8949950943999998</v>
      </c>
      <c r="L26" s="71">
        <f t="shared" si="4"/>
        <v>4</v>
      </c>
      <c r="M26" s="70"/>
      <c r="N26" s="70"/>
      <c r="O26" s="70"/>
    </row>
    <row r="27" spans="1:15" x14ac:dyDescent="0.25">
      <c r="A27" s="70">
        <v>2</v>
      </c>
      <c r="B27" s="70">
        <v>12</v>
      </c>
      <c r="C27" s="70" t="s">
        <v>59</v>
      </c>
      <c r="D27" s="70" t="s">
        <v>65</v>
      </c>
      <c r="E27" s="70" t="s">
        <v>58</v>
      </c>
      <c r="F27" s="70">
        <v>34</v>
      </c>
      <c r="G27" s="70">
        <v>16</v>
      </c>
      <c r="H27" s="71">
        <f t="shared" si="5"/>
        <v>9.079224000000001E-2</v>
      </c>
      <c r="I27" s="71">
        <f t="shared" si="1"/>
        <v>0.36316896000000004</v>
      </c>
      <c r="J27" s="71">
        <f t="shared" si="11"/>
        <v>0.53416295599999997</v>
      </c>
      <c r="K27" s="71">
        <f t="shared" si="3"/>
        <v>2.1366518239999999</v>
      </c>
      <c r="L27" s="71">
        <f t="shared" si="4"/>
        <v>4</v>
      </c>
      <c r="M27" s="70"/>
      <c r="N27" s="70"/>
      <c r="O27" s="70"/>
    </row>
    <row r="28" spans="1:15" x14ac:dyDescent="0.25">
      <c r="A28" s="70">
        <v>2</v>
      </c>
      <c r="B28" s="70">
        <v>13</v>
      </c>
      <c r="C28" s="70" t="s">
        <v>59</v>
      </c>
      <c r="D28" s="70" t="s">
        <v>65</v>
      </c>
      <c r="E28" s="70" t="s">
        <v>51</v>
      </c>
      <c r="F28" s="70">
        <v>13</v>
      </c>
      <c r="G28" s="70">
        <v>11</v>
      </c>
      <c r="H28" s="71">
        <f t="shared" si="5"/>
        <v>1.3273260000000002E-2</v>
      </c>
      <c r="I28" s="71">
        <f t="shared" si="1"/>
        <v>5.3093040000000008E-2</v>
      </c>
      <c r="J28" s="71">
        <f t="shared" si="11"/>
        <v>5.8258243599999995E-2</v>
      </c>
      <c r="K28" s="71">
        <f t="shared" si="3"/>
        <v>0.23303297439999998</v>
      </c>
      <c r="L28" s="71">
        <f t="shared" si="4"/>
        <v>4</v>
      </c>
      <c r="M28" s="70"/>
      <c r="N28" s="70"/>
      <c r="O28" s="70"/>
    </row>
    <row r="29" spans="1:15" s="1" customFormat="1" x14ac:dyDescent="0.25">
      <c r="A29" s="70">
        <v>2</v>
      </c>
      <c r="B29" s="70">
        <v>14</v>
      </c>
      <c r="C29" s="70" t="s">
        <v>57</v>
      </c>
      <c r="D29" s="68" t="s">
        <v>64</v>
      </c>
      <c r="E29" s="70" t="s">
        <v>51</v>
      </c>
      <c r="F29" s="70">
        <v>15</v>
      </c>
      <c r="G29" s="70">
        <v>10</v>
      </c>
      <c r="H29" s="71">
        <f t="shared" si="5"/>
        <v>1.76715E-2</v>
      </c>
      <c r="I29" s="71">
        <f t="shared" si="1"/>
        <v>7.0685999999999999E-2</v>
      </c>
      <c r="J29" s="71">
        <f t="shared" ref="J29:J30" si="12">(0.108337266+0.000046499*(F29^2*G29))</f>
        <v>0.212960016</v>
      </c>
      <c r="K29" s="71">
        <f t="shared" si="3"/>
        <v>0.85184006400000001</v>
      </c>
      <c r="L29" s="71">
        <f t="shared" si="4"/>
        <v>4</v>
      </c>
      <c r="M29" s="70"/>
      <c r="N29" s="70"/>
      <c r="O29" s="70"/>
    </row>
    <row r="30" spans="1:15" s="1" customFormat="1" x14ac:dyDescent="0.25">
      <c r="A30" s="70">
        <v>2</v>
      </c>
      <c r="B30" s="70">
        <v>15</v>
      </c>
      <c r="C30" s="70" t="s">
        <v>57</v>
      </c>
      <c r="D30" s="68" t="s">
        <v>64</v>
      </c>
      <c r="E30" s="70" t="s">
        <v>51</v>
      </c>
      <c r="F30" s="70">
        <v>14</v>
      </c>
      <c r="G30" s="70">
        <v>10</v>
      </c>
      <c r="H30" s="71">
        <f t="shared" si="5"/>
        <v>1.5393840000000002E-2</v>
      </c>
      <c r="I30" s="71">
        <f t="shared" si="1"/>
        <v>6.157536000000001E-2</v>
      </c>
      <c r="J30" s="71">
        <f t="shared" si="12"/>
        <v>0.19947530600000002</v>
      </c>
      <c r="K30" s="71">
        <f t="shared" si="3"/>
        <v>0.79790122400000008</v>
      </c>
      <c r="L30" s="71">
        <f t="shared" si="4"/>
        <v>4</v>
      </c>
      <c r="M30" s="70"/>
      <c r="N30" s="70"/>
      <c r="O30" s="70"/>
    </row>
    <row r="31" spans="1:15" x14ac:dyDescent="0.25">
      <c r="A31" s="70">
        <v>2</v>
      </c>
      <c r="B31" s="70">
        <v>16</v>
      </c>
      <c r="C31" s="70" t="s">
        <v>59</v>
      </c>
      <c r="D31" s="70" t="s">
        <v>65</v>
      </c>
      <c r="E31" s="70" t="s">
        <v>51</v>
      </c>
      <c r="F31" s="70">
        <v>14</v>
      </c>
      <c r="G31" s="70">
        <v>14</v>
      </c>
      <c r="H31" s="71">
        <f t="shared" si="5"/>
        <v>1.5393840000000002E-2</v>
      </c>
      <c r="I31" s="71">
        <f t="shared" si="1"/>
        <v>6.157536000000001E-2</v>
      </c>
      <c r="J31" s="71">
        <f t="shared" ref="J31:J37" si="13">(0.0050811768+0.0000286052*(F31^2*G31))</f>
        <v>8.3573845600000002E-2</v>
      </c>
      <c r="K31" s="71">
        <f t="shared" si="3"/>
        <v>0.33429538240000001</v>
      </c>
      <c r="L31" s="71">
        <f t="shared" si="4"/>
        <v>4</v>
      </c>
      <c r="M31" s="70"/>
      <c r="N31" s="70"/>
      <c r="O31" s="70"/>
    </row>
    <row r="32" spans="1:15" x14ac:dyDescent="0.25">
      <c r="A32" s="70">
        <v>2</v>
      </c>
      <c r="B32" s="70">
        <v>17</v>
      </c>
      <c r="C32" s="70" t="s">
        <v>59</v>
      </c>
      <c r="D32" s="70" t="s">
        <v>65</v>
      </c>
      <c r="E32" s="70" t="s">
        <v>51</v>
      </c>
      <c r="F32" s="70">
        <v>18</v>
      </c>
      <c r="G32" s="70">
        <v>13</v>
      </c>
      <c r="H32" s="71">
        <f t="shared" si="5"/>
        <v>2.5446959999999998E-2</v>
      </c>
      <c r="I32" s="71">
        <f t="shared" si="1"/>
        <v>0.10178783999999999</v>
      </c>
      <c r="J32" s="71">
        <f t="shared" si="13"/>
        <v>0.12556627919999999</v>
      </c>
      <c r="K32" s="71">
        <f t="shared" si="3"/>
        <v>0.50226511679999997</v>
      </c>
      <c r="L32" s="71">
        <f t="shared" si="4"/>
        <v>4</v>
      </c>
      <c r="M32" s="70"/>
      <c r="N32" s="70"/>
      <c r="O32" s="70"/>
    </row>
    <row r="33" spans="1:15" x14ac:dyDescent="0.25">
      <c r="A33" s="70">
        <v>2</v>
      </c>
      <c r="B33" s="70">
        <v>18</v>
      </c>
      <c r="C33" s="70" t="s">
        <v>59</v>
      </c>
      <c r="D33" s="70" t="s">
        <v>65</v>
      </c>
      <c r="E33" s="70" t="s">
        <v>51</v>
      </c>
      <c r="F33" s="70">
        <v>19</v>
      </c>
      <c r="G33" s="70">
        <v>13</v>
      </c>
      <c r="H33" s="71">
        <f t="shared" si="5"/>
        <v>2.835294E-2</v>
      </c>
      <c r="I33" s="71">
        <f t="shared" si="1"/>
        <v>0.11341176</v>
      </c>
      <c r="J33" s="71">
        <f t="shared" si="13"/>
        <v>0.1393253804</v>
      </c>
      <c r="K33" s="71">
        <f t="shared" si="3"/>
        <v>0.55730152160000002</v>
      </c>
      <c r="L33" s="71">
        <f t="shared" si="4"/>
        <v>4</v>
      </c>
      <c r="M33" s="70"/>
      <c r="N33" s="70"/>
      <c r="O33" s="70"/>
    </row>
    <row r="34" spans="1:15" x14ac:dyDescent="0.25">
      <c r="A34" s="70">
        <v>2</v>
      </c>
      <c r="B34" s="70">
        <v>19</v>
      </c>
      <c r="C34" s="70" t="s">
        <v>59</v>
      </c>
      <c r="D34" s="70" t="s">
        <v>65</v>
      </c>
      <c r="E34" s="70" t="s">
        <v>52</v>
      </c>
      <c r="F34" s="70">
        <v>21</v>
      </c>
      <c r="G34" s="70">
        <v>15</v>
      </c>
      <c r="H34" s="71">
        <f t="shared" si="5"/>
        <v>3.4636139999999996E-2</v>
      </c>
      <c r="I34" s="71">
        <f t="shared" si="1"/>
        <v>0.13854455999999998</v>
      </c>
      <c r="J34" s="71">
        <f t="shared" si="13"/>
        <v>0.19430457479999999</v>
      </c>
      <c r="K34" s="71">
        <f t="shared" si="3"/>
        <v>0.77721829919999996</v>
      </c>
      <c r="L34" s="71">
        <f t="shared" si="4"/>
        <v>4</v>
      </c>
      <c r="M34" s="70"/>
      <c r="N34" s="70"/>
      <c r="O34" s="70"/>
    </row>
    <row r="35" spans="1:15" x14ac:dyDescent="0.25">
      <c r="A35" s="70">
        <v>3</v>
      </c>
      <c r="B35" s="70">
        <v>1</v>
      </c>
      <c r="C35" s="70" t="s">
        <v>59</v>
      </c>
      <c r="D35" s="70" t="s">
        <v>65</v>
      </c>
      <c r="E35" s="70" t="s">
        <v>52</v>
      </c>
      <c r="F35" s="70">
        <v>21</v>
      </c>
      <c r="G35" s="70">
        <v>13</v>
      </c>
      <c r="H35" s="71">
        <f t="shared" si="5"/>
        <v>3.4636139999999996E-2</v>
      </c>
      <c r="I35" s="71">
        <f t="shared" si="1"/>
        <v>0.13854455999999998</v>
      </c>
      <c r="J35" s="71">
        <f t="shared" si="13"/>
        <v>0.16907478839999998</v>
      </c>
      <c r="K35" s="71">
        <f t="shared" si="3"/>
        <v>0.67629915359999992</v>
      </c>
      <c r="L35" s="71">
        <f t="shared" si="4"/>
        <v>4</v>
      </c>
      <c r="M35" s="70"/>
      <c r="N35" s="70"/>
      <c r="O35" s="70"/>
    </row>
    <row r="36" spans="1:15" x14ac:dyDescent="0.25">
      <c r="A36" s="70">
        <v>3</v>
      </c>
      <c r="B36" s="70">
        <v>2</v>
      </c>
      <c r="C36" s="70" t="s">
        <v>59</v>
      </c>
      <c r="D36" s="70" t="s">
        <v>65</v>
      </c>
      <c r="E36" s="70" t="s">
        <v>51</v>
      </c>
      <c r="F36" s="70">
        <v>17</v>
      </c>
      <c r="G36" s="70">
        <v>12</v>
      </c>
      <c r="H36" s="71">
        <f t="shared" si="5"/>
        <v>2.2698060000000003E-2</v>
      </c>
      <c r="I36" s="71">
        <f t="shared" si="1"/>
        <v>9.079224000000001E-2</v>
      </c>
      <c r="J36" s="71">
        <f t="shared" si="13"/>
        <v>0.1042840104</v>
      </c>
      <c r="K36" s="71">
        <f t="shared" si="3"/>
        <v>0.41713604160000001</v>
      </c>
      <c r="L36" s="71">
        <f t="shared" si="4"/>
        <v>4</v>
      </c>
      <c r="M36" s="70"/>
      <c r="N36" s="70"/>
      <c r="O36" s="70"/>
    </row>
    <row r="37" spans="1:15" x14ac:dyDescent="0.25">
      <c r="A37" s="70">
        <v>3</v>
      </c>
      <c r="B37" s="70">
        <v>3</v>
      </c>
      <c r="C37" s="70" t="s">
        <v>59</v>
      </c>
      <c r="D37" s="70" t="s">
        <v>65</v>
      </c>
      <c r="E37" s="70" t="s">
        <v>52</v>
      </c>
      <c r="F37" s="70">
        <v>22</v>
      </c>
      <c r="G37" s="70">
        <v>17</v>
      </c>
      <c r="H37" s="71">
        <f t="shared" si="5"/>
        <v>3.8013359999999996E-2</v>
      </c>
      <c r="I37" s="71">
        <f t="shared" si="1"/>
        <v>0.15205343999999998</v>
      </c>
      <c r="J37" s="71">
        <f t="shared" si="13"/>
        <v>0.24044476239999998</v>
      </c>
      <c r="K37" s="71">
        <f t="shared" si="3"/>
        <v>0.96177904959999994</v>
      </c>
      <c r="L37" s="71">
        <f t="shared" si="4"/>
        <v>4</v>
      </c>
      <c r="M37" s="70"/>
      <c r="N37" s="70"/>
      <c r="O37" s="70"/>
    </row>
    <row r="38" spans="1:15" x14ac:dyDescent="0.25">
      <c r="A38" s="70">
        <v>3</v>
      </c>
      <c r="B38" s="70">
        <v>4</v>
      </c>
      <c r="C38" s="70" t="s">
        <v>53</v>
      </c>
      <c r="D38" s="67" t="s">
        <v>63</v>
      </c>
      <c r="E38" s="70" t="s">
        <v>52</v>
      </c>
      <c r="F38" s="70">
        <v>28</v>
      </c>
      <c r="G38" s="70">
        <v>10</v>
      </c>
      <c r="H38" s="71">
        <f t="shared" si="5"/>
        <v>6.157536000000001E-2</v>
      </c>
      <c r="I38" s="71">
        <f t="shared" si="1"/>
        <v>0.24630144000000004</v>
      </c>
      <c r="J38" s="71">
        <f t="shared" ref="J38" si="14">(0.108337266+0.000046499*(F38^2*G38))</f>
        <v>0.472889426</v>
      </c>
      <c r="K38" s="71">
        <f t="shared" si="3"/>
        <v>1.891557704</v>
      </c>
      <c r="L38" s="71">
        <f t="shared" si="4"/>
        <v>4</v>
      </c>
      <c r="M38" s="70"/>
      <c r="N38" s="70"/>
      <c r="O38" s="70"/>
    </row>
    <row r="39" spans="1:15" x14ac:dyDescent="0.25">
      <c r="A39" s="70">
        <v>3</v>
      </c>
      <c r="B39" s="70">
        <v>5</v>
      </c>
      <c r="C39" s="70" t="s">
        <v>59</v>
      </c>
      <c r="D39" s="70" t="s">
        <v>65</v>
      </c>
      <c r="E39" s="70" t="s">
        <v>52</v>
      </c>
      <c r="F39" s="70">
        <v>27</v>
      </c>
      <c r="G39" s="70">
        <v>17</v>
      </c>
      <c r="H39" s="71">
        <f t="shared" si="5"/>
        <v>5.7255660000000007E-2</v>
      </c>
      <c r="I39" s="71">
        <f t="shared" si="1"/>
        <v>0.22902264000000003</v>
      </c>
      <c r="J39" s="71">
        <f t="shared" ref="J39:J42" si="15">(0.0050811768+0.0000286052*(F39^2*G39))</f>
        <v>0.35958542039999997</v>
      </c>
      <c r="K39" s="71">
        <f t="shared" si="3"/>
        <v>1.4383416815999999</v>
      </c>
      <c r="L39" s="71">
        <f t="shared" si="4"/>
        <v>4</v>
      </c>
      <c r="M39" s="70"/>
      <c r="N39" s="70"/>
      <c r="O39" s="70"/>
    </row>
    <row r="40" spans="1:15" x14ac:dyDescent="0.25">
      <c r="A40" s="70">
        <v>3</v>
      </c>
      <c r="B40" s="70">
        <v>6</v>
      </c>
      <c r="C40" s="70" t="s">
        <v>59</v>
      </c>
      <c r="D40" s="70" t="s">
        <v>65</v>
      </c>
      <c r="E40" s="70" t="s">
        <v>52</v>
      </c>
      <c r="F40" s="70">
        <v>24</v>
      </c>
      <c r="G40" s="70">
        <v>16</v>
      </c>
      <c r="H40" s="71">
        <f t="shared" si="5"/>
        <v>4.5239040000000001E-2</v>
      </c>
      <c r="I40" s="71">
        <f t="shared" si="1"/>
        <v>0.18095616</v>
      </c>
      <c r="J40" s="71">
        <f t="shared" si="15"/>
        <v>0.26870669999999997</v>
      </c>
      <c r="K40" s="71">
        <f t="shared" si="3"/>
        <v>1.0748267999999999</v>
      </c>
      <c r="L40" s="71">
        <f t="shared" si="4"/>
        <v>4</v>
      </c>
      <c r="M40" s="70"/>
      <c r="N40" s="70"/>
      <c r="O40" s="70"/>
    </row>
    <row r="41" spans="1:15" x14ac:dyDescent="0.25">
      <c r="A41" s="70">
        <v>3</v>
      </c>
      <c r="B41" s="70">
        <v>7</v>
      </c>
      <c r="C41" s="70" t="s">
        <v>59</v>
      </c>
      <c r="D41" s="70" t="s">
        <v>65</v>
      </c>
      <c r="E41" s="70" t="s">
        <v>52</v>
      </c>
      <c r="F41" s="70">
        <v>20</v>
      </c>
      <c r="G41" s="70">
        <v>17</v>
      </c>
      <c r="H41" s="71">
        <f t="shared" si="5"/>
        <v>3.1416000000000006E-2</v>
      </c>
      <c r="I41" s="71">
        <f t="shared" si="1"/>
        <v>0.12566400000000003</v>
      </c>
      <c r="J41" s="71">
        <f t="shared" si="15"/>
        <v>0.1995965368</v>
      </c>
      <c r="K41" s="71">
        <f t="shared" si="3"/>
        <v>0.79838614720000001</v>
      </c>
      <c r="L41" s="71">
        <f t="shared" si="4"/>
        <v>4</v>
      </c>
      <c r="M41" s="70"/>
      <c r="N41" s="70"/>
      <c r="O41" s="70"/>
    </row>
    <row r="42" spans="1:15" x14ac:dyDescent="0.25">
      <c r="A42" s="70">
        <v>3</v>
      </c>
      <c r="B42" s="70">
        <v>8</v>
      </c>
      <c r="C42" s="70" t="s">
        <v>59</v>
      </c>
      <c r="D42" s="70" t="s">
        <v>65</v>
      </c>
      <c r="E42" s="70" t="s">
        <v>58</v>
      </c>
      <c r="F42" s="70">
        <v>31</v>
      </c>
      <c r="G42" s="70">
        <v>18</v>
      </c>
      <c r="H42" s="71">
        <f t="shared" si="5"/>
        <v>7.5476940000000006E-2</v>
      </c>
      <c r="I42" s="71">
        <f t="shared" si="1"/>
        <v>0.30190776000000002</v>
      </c>
      <c r="J42" s="71">
        <f t="shared" si="15"/>
        <v>0.49989392639999997</v>
      </c>
      <c r="K42" s="71">
        <f t="shared" si="3"/>
        <v>1.9995757055999999</v>
      </c>
      <c r="L42" s="71">
        <f t="shared" si="4"/>
        <v>4</v>
      </c>
      <c r="M42" s="70"/>
      <c r="N42" s="70"/>
      <c r="O42" s="70"/>
    </row>
    <row r="43" spans="1:15" x14ac:dyDescent="0.25">
      <c r="A43" s="70">
        <v>3</v>
      </c>
      <c r="B43" s="70">
        <v>9</v>
      </c>
      <c r="C43" s="70" t="s">
        <v>57</v>
      </c>
      <c r="D43" s="68" t="s">
        <v>64</v>
      </c>
      <c r="E43" s="70" t="s">
        <v>51</v>
      </c>
      <c r="F43" s="70">
        <v>15</v>
      </c>
      <c r="G43" s="70">
        <v>11</v>
      </c>
      <c r="H43" s="71">
        <f t="shared" si="5"/>
        <v>1.76715E-2</v>
      </c>
      <c r="I43" s="71">
        <f t="shared" si="1"/>
        <v>7.0685999999999999E-2</v>
      </c>
      <c r="J43" s="71">
        <f t="shared" ref="J43" si="16">(0.108337266+0.000046499*(F43^2*G43))</f>
        <v>0.223422291</v>
      </c>
      <c r="K43" s="71">
        <f t="shared" si="3"/>
        <v>0.89368916399999998</v>
      </c>
      <c r="L43" s="71">
        <f t="shared" si="4"/>
        <v>4</v>
      </c>
      <c r="M43" s="70"/>
      <c r="N43" s="70"/>
      <c r="O43" s="70"/>
    </row>
    <row r="44" spans="1:15" x14ac:dyDescent="0.25">
      <c r="A44" s="70">
        <v>3</v>
      </c>
      <c r="B44" s="70">
        <v>10</v>
      </c>
      <c r="C44" s="70" t="s">
        <v>59</v>
      </c>
      <c r="D44" s="70" t="s">
        <v>65</v>
      </c>
      <c r="E44" s="70" t="s">
        <v>58</v>
      </c>
      <c r="F44" s="70">
        <v>31</v>
      </c>
      <c r="G44" s="70">
        <v>17</v>
      </c>
      <c r="H44" s="71">
        <f t="shared" ref="H44:H79" si="17">0.7854*(F44/100)^2</f>
        <v>7.5476940000000006E-2</v>
      </c>
      <c r="I44" s="71">
        <f t="shared" si="1"/>
        <v>0.30190776000000002</v>
      </c>
      <c r="J44" s="71">
        <f>(0.0050811768+0.0000286052*(F44^2*G44))</f>
        <v>0.47240432919999997</v>
      </c>
      <c r="K44" s="71">
        <f t="shared" si="3"/>
        <v>1.8896173167999999</v>
      </c>
      <c r="L44" s="71">
        <f t="shared" si="4"/>
        <v>4</v>
      </c>
      <c r="M44" s="70"/>
      <c r="N44" s="70"/>
      <c r="O44" s="70"/>
    </row>
    <row r="45" spans="1:15" x14ac:dyDescent="0.25">
      <c r="A45" s="70">
        <v>3</v>
      </c>
      <c r="B45" s="70">
        <v>11</v>
      </c>
      <c r="C45" s="70" t="s">
        <v>57</v>
      </c>
      <c r="D45" s="68" t="s">
        <v>64</v>
      </c>
      <c r="E45" s="70" t="s">
        <v>51</v>
      </c>
      <c r="F45" s="70">
        <v>16</v>
      </c>
      <c r="G45" s="70">
        <v>11</v>
      </c>
      <c r="H45" s="71">
        <f t="shared" si="17"/>
        <v>2.0106240000000001E-2</v>
      </c>
      <c r="I45" s="71">
        <f t="shared" si="1"/>
        <v>8.0424960000000004E-2</v>
      </c>
      <c r="J45" s="71">
        <f t="shared" ref="J45" si="18">(0.108337266+0.000046499*(F45^2*G45))</f>
        <v>0.23927845000000003</v>
      </c>
      <c r="K45" s="71">
        <f t="shared" si="3"/>
        <v>0.95711380000000013</v>
      </c>
      <c r="L45" s="71">
        <f t="shared" si="4"/>
        <v>4</v>
      </c>
      <c r="M45" s="70"/>
      <c r="N45" s="70"/>
      <c r="O45" s="70"/>
    </row>
    <row r="46" spans="1:15" x14ac:dyDescent="0.25">
      <c r="A46" s="70">
        <v>3</v>
      </c>
      <c r="B46" s="70">
        <v>12</v>
      </c>
      <c r="C46" s="70" t="s">
        <v>59</v>
      </c>
      <c r="D46" s="70" t="s">
        <v>65</v>
      </c>
      <c r="E46" s="70" t="s">
        <v>52</v>
      </c>
      <c r="F46" s="70">
        <v>28</v>
      </c>
      <c r="G46" s="70">
        <v>17</v>
      </c>
      <c r="H46" s="71">
        <f t="shared" si="17"/>
        <v>6.157536000000001E-2</v>
      </c>
      <c r="I46" s="71">
        <f t="shared" si="1"/>
        <v>0.24630144000000004</v>
      </c>
      <c r="J46" s="71">
        <f t="shared" ref="J46:J47" si="19">(0.0050811768+0.0000286052*(F46^2*G46))</f>
        <v>0.38633128239999998</v>
      </c>
      <c r="K46" s="71">
        <f t="shared" si="3"/>
        <v>1.5453251295999999</v>
      </c>
      <c r="L46" s="71">
        <f t="shared" si="4"/>
        <v>4</v>
      </c>
      <c r="M46" s="70"/>
      <c r="N46" s="70"/>
      <c r="O46" s="70"/>
    </row>
    <row r="47" spans="1:15" x14ac:dyDescent="0.25">
      <c r="A47" s="70">
        <v>3</v>
      </c>
      <c r="B47" s="70">
        <v>13</v>
      </c>
      <c r="C47" s="70" t="s">
        <v>59</v>
      </c>
      <c r="D47" s="70" t="s">
        <v>65</v>
      </c>
      <c r="E47" s="70" t="s">
        <v>58</v>
      </c>
      <c r="F47" s="70">
        <v>31</v>
      </c>
      <c r="G47" s="70">
        <v>18</v>
      </c>
      <c r="H47" s="71">
        <f t="shared" si="17"/>
        <v>7.5476940000000006E-2</v>
      </c>
      <c r="I47" s="71">
        <f t="shared" si="1"/>
        <v>0.30190776000000002</v>
      </c>
      <c r="J47" s="71">
        <f t="shared" si="19"/>
        <v>0.49989392639999997</v>
      </c>
      <c r="K47" s="71">
        <f t="shared" si="3"/>
        <v>1.9995757055999999</v>
      </c>
      <c r="L47" s="71">
        <f t="shared" si="4"/>
        <v>4</v>
      </c>
      <c r="M47" s="70"/>
      <c r="N47" s="70"/>
      <c r="O47" s="70"/>
    </row>
    <row r="48" spans="1:15" x14ac:dyDescent="0.25">
      <c r="A48" s="70">
        <v>3</v>
      </c>
      <c r="B48" s="70">
        <v>14</v>
      </c>
      <c r="C48" s="70" t="s">
        <v>57</v>
      </c>
      <c r="D48" s="68" t="s">
        <v>64</v>
      </c>
      <c r="E48" s="70" t="s">
        <v>52</v>
      </c>
      <c r="F48" s="70">
        <v>21</v>
      </c>
      <c r="G48" s="70">
        <v>14</v>
      </c>
      <c r="H48" s="71">
        <f t="shared" si="17"/>
        <v>3.4636139999999996E-2</v>
      </c>
      <c r="I48" s="71">
        <f t="shared" si="1"/>
        <v>0.13854455999999998</v>
      </c>
      <c r="J48" s="71">
        <f t="shared" ref="J48:J50" si="20">(0.108337266+0.000046499*(F48^2*G48))</f>
        <v>0.395422092</v>
      </c>
      <c r="K48" s="71">
        <f t="shared" si="3"/>
        <v>1.581688368</v>
      </c>
      <c r="L48" s="71">
        <f t="shared" si="4"/>
        <v>4</v>
      </c>
      <c r="M48" s="70"/>
      <c r="N48" s="70"/>
      <c r="O48" s="70"/>
    </row>
    <row r="49" spans="1:15" x14ac:dyDescent="0.25">
      <c r="A49" s="70">
        <v>3</v>
      </c>
      <c r="B49" s="70">
        <v>15</v>
      </c>
      <c r="C49" s="70" t="s">
        <v>57</v>
      </c>
      <c r="D49" s="68" t="s">
        <v>64</v>
      </c>
      <c r="E49" s="70" t="s">
        <v>52</v>
      </c>
      <c r="F49" s="70">
        <v>20</v>
      </c>
      <c r="G49" s="70">
        <v>14</v>
      </c>
      <c r="H49" s="71">
        <f t="shared" si="17"/>
        <v>3.1416000000000006E-2</v>
      </c>
      <c r="I49" s="71">
        <f t="shared" si="1"/>
        <v>0.12566400000000003</v>
      </c>
      <c r="J49" s="71">
        <f t="shared" si="20"/>
        <v>0.36873166600000001</v>
      </c>
      <c r="K49" s="71">
        <f t="shared" si="3"/>
        <v>1.4749266640000001</v>
      </c>
      <c r="L49" s="71">
        <f t="shared" si="4"/>
        <v>4</v>
      </c>
      <c r="M49" s="70"/>
      <c r="N49" s="70"/>
      <c r="O49" s="70"/>
    </row>
    <row r="50" spans="1:15" x14ac:dyDescent="0.25">
      <c r="A50" s="70">
        <v>3</v>
      </c>
      <c r="B50" s="70">
        <v>16</v>
      </c>
      <c r="C50" s="70" t="s">
        <v>57</v>
      </c>
      <c r="D50" s="68" t="s">
        <v>64</v>
      </c>
      <c r="E50" s="70" t="s">
        <v>51</v>
      </c>
      <c r="F50" s="70">
        <v>14</v>
      </c>
      <c r="G50" s="70">
        <v>9</v>
      </c>
      <c r="H50" s="71">
        <f t="shared" si="17"/>
        <v>1.5393840000000002E-2</v>
      </c>
      <c r="I50" s="71">
        <f t="shared" si="1"/>
        <v>6.157536000000001E-2</v>
      </c>
      <c r="J50" s="71">
        <f t="shared" si="20"/>
        <v>0.19036150200000002</v>
      </c>
      <c r="K50" s="71">
        <f t="shared" si="3"/>
        <v>0.76144600800000006</v>
      </c>
      <c r="L50" s="71">
        <f t="shared" si="4"/>
        <v>4</v>
      </c>
      <c r="M50" s="70"/>
      <c r="N50" s="70"/>
      <c r="O50" s="70"/>
    </row>
    <row r="51" spans="1:15" x14ac:dyDescent="0.25">
      <c r="A51" s="70">
        <v>3</v>
      </c>
      <c r="B51" s="70">
        <v>17</v>
      </c>
      <c r="C51" s="70" t="s">
        <v>59</v>
      </c>
      <c r="D51" s="70" t="s">
        <v>65</v>
      </c>
      <c r="E51" s="70" t="s">
        <v>52</v>
      </c>
      <c r="F51" s="70">
        <v>20</v>
      </c>
      <c r="G51" s="70">
        <v>16</v>
      </c>
      <c r="H51" s="71">
        <f t="shared" si="17"/>
        <v>3.1416000000000006E-2</v>
      </c>
      <c r="I51" s="71">
        <f t="shared" si="1"/>
        <v>0.12566400000000003</v>
      </c>
      <c r="J51" s="71">
        <f t="shared" ref="J51:J52" si="21">(0.0050811768+0.0000286052*(F51^2*G51))</f>
        <v>0.18815445679999998</v>
      </c>
      <c r="K51" s="71">
        <f t="shared" si="3"/>
        <v>0.75261782719999992</v>
      </c>
      <c r="L51" s="71">
        <f t="shared" si="4"/>
        <v>4</v>
      </c>
      <c r="M51" s="70"/>
      <c r="N51" s="70"/>
      <c r="O51" s="70"/>
    </row>
    <row r="52" spans="1:15" x14ac:dyDescent="0.25">
      <c r="A52" s="70">
        <v>3</v>
      </c>
      <c r="B52" s="70">
        <v>18</v>
      </c>
      <c r="C52" s="70" t="s">
        <v>59</v>
      </c>
      <c r="D52" s="70" t="s">
        <v>65</v>
      </c>
      <c r="E52" s="70" t="s">
        <v>51</v>
      </c>
      <c r="F52" s="70">
        <v>15</v>
      </c>
      <c r="G52" s="70">
        <v>14</v>
      </c>
      <c r="H52" s="71">
        <f t="shared" si="17"/>
        <v>1.76715E-2</v>
      </c>
      <c r="I52" s="71">
        <f t="shared" si="1"/>
        <v>7.0685999999999999E-2</v>
      </c>
      <c r="J52" s="71">
        <f t="shared" si="21"/>
        <v>9.5187556800000003E-2</v>
      </c>
      <c r="K52" s="71">
        <f t="shared" si="3"/>
        <v>0.38075022720000001</v>
      </c>
      <c r="L52" s="71">
        <f t="shared" si="4"/>
        <v>4</v>
      </c>
      <c r="M52" s="70"/>
      <c r="N52" s="70"/>
      <c r="O52" s="70"/>
    </row>
    <row r="53" spans="1:15" x14ac:dyDescent="0.25">
      <c r="A53" s="70">
        <v>4</v>
      </c>
      <c r="B53" s="70">
        <v>1</v>
      </c>
      <c r="C53" s="70" t="s">
        <v>57</v>
      </c>
      <c r="D53" s="68" t="s">
        <v>64</v>
      </c>
      <c r="E53" s="70" t="s">
        <v>51</v>
      </c>
      <c r="F53" s="70">
        <v>15</v>
      </c>
      <c r="G53" s="70">
        <v>10</v>
      </c>
      <c r="H53" s="71">
        <f t="shared" si="17"/>
        <v>1.76715E-2</v>
      </c>
      <c r="I53" s="71">
        <f t="shared" si="1"/>
        <v>7.0685999999999999E-2</v>
      </c>
      <c r="J53" s="71">
        <f t="shared" ref="J53:J55" si="22">(0.108337266+0.000046499*(F53^2*G53))</f>
        <v>0.212960016</v>
      </c>
      <c r="K53" s="71">
        <f t="shared" si="3"/>
        <v>0.85184006400000001</v>
      </c>
      <c r="L53" s="71">
        <f t="shared" si="4"/>
        <v>4</v>
      </c>
      <c r="M53" s="70"/>
      <c r="N53" s="70"/>
      <c r="O53" s="70"/>
    </row>
    <row r="54" spans="1:15" x14ac:dyDescent="0.25">
      <c r="A54" s="70">
        <v>4</v>
      </c>
      <c r="B54" s="70">
        <v>2</v>
      </c>
      <c r="C54" s="70" t="s">
        <v>57</v>
      </c>
      <c r="D54" s="68" t="s">
        <v>64</v>
      </c>
      <c r="E54" s="70" t="s">
        <v>51</v>
      </c>
      <c r="F54" s="70">
        <v>14</v>
      </c>
      <c r="G54" s="70">
        <v>11</v>
      </c>
      <c r="H54" s="71">
        <f t="shared" si="17"/>
        <v>1.5393840000000002E-2</v>
      </c>
      <c r="I54" s="71">
        <f t="shared" si="1"/>
        <v>6.157536000000001E-2</v>
      </c>
      <c r="J54" s="71">
        <f t="shared" si="22"/>
        <v>0.20858911000000002</v>
      </c>
      <c r="K54" s="71">
        <f t="shared" si="3"/>
        <v>0.83435644000000009</v>
      </c>
      <c r="L54" s="71">
        <f t="shared" si="4"/>
        <v>4</v>
      </c>
      <c r="M54" s="70"/>
      <c r="N54" s="70"/>
      <c r="O54" s="70"/>
    </row>
    <row r="55" spans="1:15" x14ac:dyDescent="0.25">
      <c r="A55" s="70">
        <v>4</v>
      </c>
      <c r="B55" s="70">
        <v>3</v>
      </c>
      <c r="C55" s="70" t="s">
        <v>57</v>
      </c>
      <c r="D55" s="68" t="s">
        <v>64</v>
      </c>
      <c r="E55" s="70" t="s">
        <v>51</v>
      </c>
      <c r="F55" s="70">
        <v>14</v>
      </c>
      <c r="G55" s="70">
        <v>13</v>
      </c>
      <c r="H55" s="71">
        <f t="shared" si="17"/>
        <v>1.5393840000000002E-2</v>
      </c>
      <c r="I55" s="71">
        <f t="shared" si="1"/>
        <v>6.157536000000001E-2</v>
      </c>
      <c r="J55" s="71">
        <f t="shared" si="22"/>
        <v>0.22681671800000003</v>
      </c>
      <c r="K55" s="71">
        <f t="shared" si="3"/>
        <v>0.90726687200000011</v>
      </c>
      <c r="L55" s="71">
        <f t="shared" si="4"/>
        <v>4</v>
      </c>
      <c r="M55" s="70"/>
      <c r="N55" s="70"/>
      <c r="O55" s="70"/>
    </row>
    <row r="56" spans="1:15" x14ac:dyDescent="0.25">
      <c r="A56" s="70">
        <v>4</v>
      </c>
      <c r="B56" s="70">
        <v>4</v>
      </c>
      <c r="C56" s="70" t="s">
        <v>59</v>
      </c>
      <c r="D56" s="70" t="s">
        <v>65</v>
      </c>
      <c r="E56" s="70" t="s">
        <v>52</v>
      </c>
      <c r="F56" s="70">
        <v>25</v>
      </c>
      <c r="G56" s="70">
        <v>16</v>
      </c>
      <c r="H56" s="71">
        <f t="shared" si="17"/>
        <v>4.9087499999999999E-2</v>
      </c>
      <c r="I56" s="71">
        <f t="shared" si="1"/>
        <v>0.19635</v>
      </c>
      <c r="J56" s="71">
        <f>(0.0050811768+0.0000286052*(F56^2*G56))</f>
        <v>0.29113317679999995</v>
      </c>
      <c r="K56" s="71">
        <f t="shared" si="3"/>
        <v>1.1645327071999998</v>
      </c>
      <c r="L56" s="71">
        <f t="shared" si="4"/>
        <v>4</v>
      </c>
      <c r="M56" s="70"/>
      <c r="N56" s="70"/>
      <c r="O56" s="70"/>
    </row>
    <row r="57" spans="1:15" x14ac:dyDescent="0.25">
      <c r="A57" s="70">
        <v>4</v>
      </c>
      <c r="B57" s="70">
        <v>5</v>
      </c>
      <c r="C57" s="70" t="s">
        <v>57</v>
      </c>
      <c r="D57" s="68" t="s">
        <v>64</v>
      </c>
      <c r="E57" s="70" t="s">
        <v>51</v>
      </c>
      <c r="F57" s="70">
        <v>17</v>
      </c>
      <c r="G57" s="70">
        <v>10</v>
      </c>
      <c r="H57" s="71">
        <f t="shared" si="17"/>
        <v>2.2698060000000003E-2</v>
      </c>
      <c r="I57" s="71">
        <f t="shared" ref="I57:I79" si="23">H57*1/$O$3</f>
        <v>9.079224000000001E-2</v>
      </c>
      <c r="J57" s="71">
        <f t="shared" ref="J57:J65" si="24">(0.108337266+0.000046499*(F57^2*G57))</f>
        <v>0.24271937599999999</v>
      </c>
      <c r="K57" s="71">
        <f t="shared" si="3"/>
        <v>0.97087750399999995</v>
      </c>
      <c r="L57" s="71">
        <f t="shared" ref="L57:L79" si="25">1*1/$O$3</f>
        <v>4</v>
      </c>
      <c r="M57" s="70"/>
      <c r="N57" s="70"/>
      <c r="O57" s="70"/>
    </row>
    <row r="58" spans="1:15" x14ac:dyDescent="0.25">
      <c r="A58" s="70">
        <v>4</v>
      </c>
      <c r="B58" s="70">
        <v>6</v>
      </c>
      <c r="C58" s="70" t="s">
        <v>53</v>
      </c>
      <c r="D58" s="67" t="s">
        <v>63</v>
      </c>
      <c r="E58" s="70" t="s">
        <v>51</v>
      </c>
      <c r="F58" s="70">
        <v>16</v>
      </c>
      <c r="G58" s="70">
        <v>11</v>
      </c>
      <c r="H58" s="71">
        <f t="shared" si="17"/>
        <v>2.0106240000000001E-2</v>
      </c>
      <c r="I58" s="71">
        <f t="shared" si="23"/>
        <v>8.0424960000000004E-2</v>
      </c>
      <c r="J58" s="71">
        <f t="shared" si="24"/>
        <v>0.23927845000000003</v>
      </c>
      <c r="K58" s="71">
        <f t="shared" si="3"/>
        <v>0.95711380000000013</v>
      </c>
      <c r="L58" s="71">
        <f t="shared" si="25"/>
        <v>4</v>
      </c>
      <c r="M58" s="70"/>
      <c r="N58" s="70"/>
      <c r="O58" s="70"/>
    </row>
    <row r="59" spans="1:15" x14ac:dyDescent="0.25">
      <c r="A59" s="70">
        <v>4</v>
      </c>
      <c r="B59" s="70">
        <v>7</v>
      </c>
      <c r="C59" s="70" t="s">
        <v>53</v>
      </c>
      <c r="D59" s="67" t="s">
        <v>63</v>
      </c>
      <c r="E59" s="70" t="s">
        <v>51</v>
      </c>
      <c r="F59" s="70">
        <v>14</v>
      </c>
      <c r="G59" s="70">
        <v>12</v>
      </c>
      <c r="H59" s="71">
        <f t="shared" si="17"/>
        <v>1.5393840000000002E-2</v>
      </c>
      <c r="I59" s="71">
        <f t="shared" si="23"/>
        <v>6.157536000000001E-2</v>
      </c>
      <c r="J59" s="71">
        <f t="shared" si="24"/>
        <v>0.21770291400000003</v>
      </c>
      <c r="K59" s="71">
        <f t="shared" si="3"/>
        <v>0.8708116560000001</v>
      </c>
      <c r="L59" s="71">
        <f t="shared" si="25"/>
        <v>4</v>
      </c>
      <c r="M59" s="70"/>
      <c r="N59" s="70"/>
      <c r="O59" s="70"/>
    </row>
    <row r="60" spans="1:15" x14ac:dyDescent="0.25">
      <c r="A60" s="70">
        <v>4</v>
      </c>
      <c r="B60" s="70">
        <v>8</v>
      </c>
      <c r="C60" s="70" t="s">
        <v>57</v>
      </c>
      <c r="D60" s="68" t="s">
        <v>64</v>
      </c>
      <c r="E60" s="70" t="s">
        <v>51</v>
      </c>
      <c r="F60" s="70">
        <v>18</v>
      </c>
      <c r="G60" s="70">
        <v>13</v>
      </c>
      <c r="H60" s="71">
        <f t="shared" si="17"/>
        <v>2.5446959999999998E-2</v>
      </c>
      <c r="I60" s="71">
        <f t="shared" si="23"/>
        <v>0.10178783999999999</v>
      </c>
      <c r="J60" s="71">
        <f t="shared" si="24"/>
        <v>0.30419105400000002</v>
      </c>
      <c r="K60" s="71">
        <f t="shared" si="3"/>
        <v>1.2167642160000001</v>
      </c>
      <c r="L60" s="71">
        <f t="shared" si="25"/>
        <v>4</v>
      </c>
      <c r="M60" s="70"/>
      <c r="N60" s="70"/>
      <c r="O60" s="70"/>
    </row>
    <row r="61" spans="1:15" x14ac:dyDescent="0.25">
      <c r="A61" s="70">
        <v>4</v>
      </c>
      <c r="B61" s="70">
        <v>9</v>
      </c>
      <c r="C61" s="70" t="s">
        <v>57</v>
      </c>
      <c r="D61" s="68" t="s">
        <v>64</v>
      </c>
      <c r="E61" s="70" t="s">
        <v>51</v>
      </c>
      <c r="F61" s="70">
        <v>19</v>
      </c>
      <c r="G61" s="70">
        <v>10</v>
      </c>
      <c r="H61" s="71">
        <f t="shared" si="17"/>
        <v>2.835294E-2</v>
      </c>
      <c r="I61" s="71">
        <f t="shared" si="23"/>
        <v>0.11341176</v>
      </c>
      <c r="J61" s="71">
        <f t="shared" si="24"/>
        <v>0.27619865599999999</v>
      </c>
      <c r="K61" s="71">
        <f t="shared" si="3"/>
        <v>1.1047946239999999</v>
      </c>
      <c r="L61" s="71">
        <f t="shared" si="25"/>
        <v>4</v>
      </c>
      <c r="M61" s="70"/>
      <c r="N61" s="70"/>
      <c r="O61" s="70"/>
    </row>
    <row r="62" spans="1:15" x14ac:dyDescent="0.25">
      <c r="A62" s="70">
        <v>4</v>
      </c>
      <c r="B62" s="70">
        <v>10</v>
      </c>
      <c r="C62" s="70" t="s">
        <v>57</v>
      </c>
      <c r="D62" s="68" t="s">
        <v>64</v>
      </c>
      <c r="E62" s="70" t="s">
        <v>51</v>
      </c>
      <c r="F62" s="70">
        <v>19</v>
      </c>
      <c r="G62" s="70">
        <v>15</v>
      </c>
      <c r="H62" s="71">
        <f t="shared" si="17"/>
        <v>2.835294E-2</v>
      </c>
      <c r="I62" s="71">
        <f t="shared" si="23"/>
        <v>0.11341176</v>
      </c>
      <c r="J62" s="71">
        <f t="shared" si="24"/>
        <v>0.36012935099999999</v>
      </c>
      <c r="K62" s="71">
        <f t="shared" si="3"/>
        <v>1.4405174039999999</v>
      </c>
      <c r="L62" s="71">
        <f t="shared" si="25"/>
        <v>4</v>
      </c>
      <c r="M62" s="70"/>
      <c r="N62" s="70"/>
      <c r="O62" s="70"/>
    </row>
    <row r="63" spans="1:15" x14ac:dyDescent="0.25">
      <c r="A63" s="70">
        <v>4</v>
      </c>
      <c r="B63" s="70">
        <v>11</v>
      </c>
      <c r="C63" s="70" t="s">
        <v>57</v>
      </c>
      <c r="D63" s="68" t="s">
        <v>64</v>
      </c>
      <c r="E63" s="70" t="s">
        <v>51</v>
      </c>
      <c r="F63" s="70">
        <v>15</v>
      </c>
      <c r="G63" s="70">
        <v>11</v>
      </c>
      <c r="H63" s="71">
        <f t="shared" si="17"/>
        <v>1.76715E-2</v>
      </c>
      <c r="I63" s="71">
        <f t="shared" si="23"/>
        <v>7.0685999999999999E-2</v>
      </c>
      <c r="J63" s="71">
        <f t="shared" si="24"/>
        <v>0.223422291</v>
      </c>
      <c r="K63" s="71">
        <f t="shared" si="3"/>
        <v>0.89368916399999998</v>
      </c>
      <c r="L63" s="71">
        <f t="shared" si="25"/>
        <v>4</v>
      </c>
      <c r="M63" s="70"/>
      <c r="N63" s="70"/>
      <c r="O63" s="70"/>
    </row>
    <row r="64" spans="1:15" x14ac:dyDescent="0.25">
      <c r="A64" s="70">
        <v>4</v>
      </c>
      <c r="B64" s="70">
        <v>12</v>
      </c>
      <c r="C64" s="70" t="s">
        <v>57</v>
      </c>
      <c r="D64" s="68" t="s">
        <v>64</v>
      </c>
      <c r="E64" s="70" t="s">
        <v>51</v>
      </c>
      <c r="F64" s="70">
        <v>14</v>
      </c>
      <c r="G64" s="70">
        <v>12</v>
      </c>
      <c r="H64" s="71">
        <f t="shared" si="17"/>
        <v>1.5393840000000002E-2</v>
      </c>
      <c r="I64" s="71">
        <f t="shared" si="23"/>
        <v>6.157536000000001E-2</v>
      </c>
      <c r="J64" s="71">
        <f t="shared" si="24"/>
        <v>0.21770291400000003</v>
      </c>
      <c r="K64" s="71">
        <f t="shared" si="3"/>
        <v>0.8708116560000001</v>
      </c>
      <c r="L64" s="71">
        <f t="shared" si="25"/>
        <v>4</v>
      </c>
      <c r="M64" s="70"/>
      <c r="N64" s="70"/>
      <c r="O64" s="70"/>
    </row>
    <row r="65" spans="1:15" x14ac:dyDescent="0.25">
      <c r="A65" s="70">
        <v>4</v>
      </c>
      <c r="B65" s="70">
        <v>13</v>
      </c>
      <c r="C65" s="70" t="s">
        <v>57</v>
      </c>
      <c r="D65" s="68" t="s">
        <v>64</v>
      </c>
      <c r="E65" s="70" t="s">
        <v>52</v>
      </c>
      <c r="F65" s="70">
        <v>21</v>
      </c>
      <c r="G65" s="70">
        <v>13</v>
      </c>
      <c r="H65" s="71">
        <f t="shared" si="17"/>
        <v>3.4636139999999996E-2</v>
      </c>
      <c r="I65" s="71">
        <f t="shared" si="23"/>
        <v>0.13854455999999998</v>
      </c>
      <c r="J65" s="71">
        <f t="shared" si="24"/>
        <v>0.37491603299999998</v>
      </c>
      <c r="K65" s="71">
        <f t="shared" si="3"/>
        <v>1.4996641319999999</v>
      </c>
      <c r="L65" s="71">
        <f t="shared" si="25"/>
        <v>4</v>
      </c>
      <c r="M65" s="70"/>
      <c r="N65" s="70"/>
      <c r="O65" s="70"/>
    </row>
    <row r="66" spans="1:15" x14ac:dyDescent="0.25">
      <c r="A66" s="70">
        <v>4</v>
      </c>
      <c r="B66" s="70">
        <v>14</v>
      </c>
      <c r="C66" s="70" t="s">
        <v>59</v>
      </c>
      <c r="D66" s="70" t="s">
        <v>65</v>
      </c>
      <c r="E66" s="70" t="s">
        <v>52</v>
      </c>
      <c r="F66" s="70">
        <v>20</v>
      </c>
      <c r="G66" s="70">
        <v>14</v>
      </c>
      <c r="H66" s="71">
        <f t="shared" si="17"/>
        <v>3.1416000000000006E-2</v>
      </c>
      <c r="I66" s="71">
        <f t="shared" si="23"/>
        <v>0.12566400000000003</v>
      </c>
      <c r="J66" s="71">
        <f>(0.0050811768+0.0000286052*(F66^2*G66))</f>
        <v>0.16527029679999999</v>
      </c>
      <c r="K66" s="71">
        <f t="shared" si="3"/>
        <v>0.66108118719999998</v>
      </c>
      <c r="L66" s="71">
        <f t="shared" si="25"/>
        <v>4</v>
      </c>
      <c r="M66" s="70"/>
      <c r="N66" s="70"/>
      <c r="O66" s="70"/>
    </row>
    <row r="67" spans="1:15" x14ac:dyDescent="0.25">
      <c r="A67" s="70">
        <v>4</v>
      </c>
      <c r="B67" s="70">
        <v>15</v>
      </c>
      <c r="C67" s="70" t="s">
        <v>57</v>
      </c>
      <c r="D67" s="68" t="s">
        <v>64</v>
      </c>
      <c r="E67" s="70" t="s">
        <v>51</v>
      </c>
      <c r="F67" s="70">
        <v>15</v>
      </c>
      <c r="G67" s="70">
        <v>13</v>
      </c>
      <c r="H67" s="71">
        <f t="shared" si="17"/>
        <v>1.76715E-2</v>
      </c>
      <c r="I67" s="71">
        <f t="shared" si="23"/>
        <v>7.0685999999999999E-2</v>
      </c>
      <c r="J67" s="71">
        <f t="shared" ref="J67:J79" si="26">(0.108337266+0.000046499*(F67^2*G67))</f>
        <v>0.24434684100000004</v>
      </c>
      <c r="K67" s="71">
        <f t="shared" ref="K67:K79" si="27">J67/$O$3</f>
        <v>0.97738736400000015</v>
      </c>
      <c r="L67" s="71">
        <f t="shared" si="25"/>
        <v>4</v>
      </c>
      <c r="M67" s="70"/>
      <c r="N67" s="70"/>
      <c r="O67" s="70"/>
    </row>
    <row r="68" spans="1:15" x14ac:dyDescent="0.25">
      <c r="A68" s="75">
        <v>5</v>
      </c>
      <c r="B68" s="75">
        <v>1</v>
      </c>
      <c r="C68" s="70" t="s">
        <v>57</v>
      </c>
      <c r="D68" s="68" t="s">
        <v>64</v>
      </c>
      <c r="E68" s="70" t="s">
        <v>51</v>
      </c>
      <c r="F68" s="75">
        <v>10</v>
      </c>
      <c r="G68" s="75">
        <v>6</v>
      </c>
      <c r="H68" s="76">
        <f t="shared" si="17"/>
        <v>7.8540000000000016E-3</v>
      </c>
      <c r="I68" s="76">
        <f t="shared" si="23"/>
        <v>3.1416000000000006E-2</v>
      </c>
      <c r="J68" s="76">
        <f t="shared" si="26"/>
        <v>0.13623666600000001</v>
      </c>
      <c r="K68" s="76">
        <f t="shared" si="27"/>
        <v>0.54494666400000003</v>
      </c>
      <c r="L68" s="71">
        <f t="shared" si="25"/>
        <v>4</v>
      </c>
    </row>
    <row r="69" spans="1:15" x14ac:dyDescent="0.25">
      <c r="A69" s="75">
        <v>5</v>
      </c>
      <c r="B69" s="75">
        <v>2</v>
      </c>
      <c r="C69" s="75" t="s">
        <v>59</v>
      </c>
      <c r="D69" s="70" t="s">
        <v>65</v>
      </c>
      <c r="E69" s="75" t="s">
        <v>60</v>
      </c>
      <c r="F69" s="75">
        <v>40</v>
      </c>
      <c r="G69" s="75">
        <v>18</v>
      </c>
      <c r="H69" s="76">
        <f t="shared" si="17"/>
        <v>0.12566400000000003</v>
      </c>
      <c r="I69" s="76">
        <f t="shared" si="23"/>
        <v>0.5026560000000001</v>
      </c>
      <c r="J69" s="76">
        <f t="shared" si="26"/>
        <v>1.4475084659999999</v>
      </c>
      <c r="K69" s="76">
        <f t="shared" si="27"/>
        <v>5.7900338639999998</v>
      </c>
      <c r="L69" s="71">
        <f t="shared" si="25"/>
        <v>4</v>
      </c>
    </row>
    <row r="70" spans="1:15" x14ac:dyDescent="0.25">
      <c r="A70" s="75">
        <v>5</v>
      </c>
      <c r="B70" s="75">
        <v>3</v>
      </c>
      <c r="C70" s="75" t="s">
        <v>59</v>
      </c>
      <c r="D70" s="70" t="s">
        <v>65</v>
      </c>
      <c r="E70" s="75" t="s">
        <v>52</v>
      </c>
      <c r="F70" s="75">
        <v>29</v>
      </c>
      <c r="G70" s="75">
        <v>14</v>
      </c>
      <c r="H70" s="76">
        <f t="shared" si="17"/>
        <v>6.6052139999999995E-2</v>
      </c>
      <c r="I70" s="76">
        <f t="shared" si="23"/>
        <v>0.26420855999999998</v>
      </c>
      <c r="J70" s="76">
        <f t="shared" si="26"/>
        <v>0.65581649200000003</v>
      </c>
      <c r="K70" s="76">
        <f t="shared" si="27"/>
        <v>2.6232659680000001</v>
      </c>
      <c r="L70" s="71">
        <f t="shared" si="25"/>
        <v>4</v>
      </c>
    </row>
    <row r="71" spans="1:15" x14ac:dyDescent="0.25">
      <c r="A71" s="75">
        <v>5</v>
      </c>
      <c r="B71" s="75">
        <v>4</v>
      </c>
      <c r="C71" s="75" t="s">
        <v>57</v>
      </c>
      <c r="D71" s="68" t="s">
        <v>64</v>
      </c>
      <c r="E71" s="70" t="s">
        <v>51</v>
      </c>
      <c r="F71" s="75">
        <v>11</v>
      </c>
      <c r="G71" s="75">
        <v>6</v>
      </c>
      <c r="H71" s="76">
        <f t="shared" si="17"/>
        <v>9.503339999999999E-3</v>
      </c>
      <c r="I71" s="76">
        <f t="shared" si="23"/>
        <v>3.8013359999999996E-2</v>
      </c>
      <c r="J71" s="76">
        <f t="shared" si="26"/>
        <v>0.14209554000000002</v>
      </c>
      <c r="K71" s="76">
        <f t="shared" si="27"/>
        <v>0.56838216000000008</v>
      </c>
      <c r="L71" s="71">
        <f t="shared" si="25"/>
        <v>4</v>
      </c>
    </row>
    <row r="72" spans="1:15" x14ac:dyDescent="0.25">
      <c r="A72" s="75">
        <v>5</v>
      </c>
      <c r="B72" s="75">
        <v>5</v>
      </c>
      <c r="C72" s="75" t="s">
        <v>59</v>
      </c>
      <c r="D72" s="70" t="s">
        <v>65</v>
      </c>
      <c r="E72" s="70" t="s">
        <v>51</v>
      </c>
      <c r="F72" s="75">
        <v>13</v>
      </c>
      <c r="G72" s="75">
        <v>8</v>
      </c>
      <c r="H72" s="76">
        <f t="shared" si="17"/>
        <v>1.3273260000000002E-2</v>
      </c>
      <c r="I72" s="76">
        <f t="shared" si="23"/>
        <v>5.3093040000000008E-2</v>
      </c>
      <c r="J72" s="76">
        <f t="shared" si="26"/>
        <v>0.17120391400000001</v>
      </c>
      <c r="K72" s="76">
        <f t="shared" si="27"/>
        <v>0.68481565600000005</v>
      </c>
      <c r="L72" s="71">
        <f t="shared" si="25"/>
        <v>4</v>
      </c>
    </row>
    <row r="73" spans="1:15" x14ac:dyDescent="0.25">
      <c r="A73" s="75">
        <v>5</v>
      </c>
      <c r="B73" s="75">
        <v>6</v>
      </c>
      <c r="C73" s="75" t="s">
        <v>59</v>
      </c>
      <c r="D73" s="70" t="s">
        <v>65</v>
      </c>
      <c r="E73" s="70" t="s">
        <v>58</v>
      </c>
      <c r="F73" s="75">
        <v>36</v>
      </c>
      <c r="G73" s="75">
        <v>15</v>
      </c>
      <c r="H73" s="76">
        <f t="shared" si="17"/>
        <v>0.10178783999999999</v>
      </c>
      <c r="I73" s="76">
        <f t="shared" si="23"/>
        <v>0.40715135999999996</v>
      </c>
      <c r="J73" s="76">
        <f t="shared" si="26"/>
        <v>1.012277826</v>
      </c>
      <c r="K73" s="76">
        <f t="shared" si="27"/>
        <v>4.0491113040000002</v>
      </c>
      <c r="L73" s="71">
        <f t="shared" si="25"/>
        <v>4</v>
      </c>
    </row>
    <row r="74" spans="1:15" x14ac:dyDescent="0.25">
      <c r="A74" s="75">
        <v>5</v>
      </c>
      <c r="B74" s="75">
        <v>7</v>
      </c>
      <c r="C74" s="75" t="s">
        <v>57</v>
      </c>
      <c r="D74" s="68" t="s">
        <v>64</v>
      </c>
      <c r="E74" s="70" t="s">
        <v>51</v>
      </c>
      <c r="F74" s="75">
        <v>10</v>
      </c>
      <c r="G74" s="75">
        <v>6</v>
      </c>
      <c r="H74" s="76">
        <f t="shared" si="17"/>
        <v>7.8540000000000016E-3</v>
      </c>
      <c r="I74" s="76">
        <f t="shared" si="23"/>
        <v>3.1416000000000006E-2</v>
      </c>
      <c r="J74" s="76">
        <f t="shared" si="26"/>
        <v>0.13623666600000001</v>
      </c>
      <c r="K74" s="76">
        <f t="shared" si="27"/>
        <v>0.54494666400000003</v>
      </c>
      <c r="L74" s="71">
        <f t="shared" si="25"/>
        <v>4</v>
      </c>
    </row>
    <row r="75" spans="1:15" x14ac:dyDescent="0.25">
      <c r="A75" s="75">
        <v>5</v>
      </c>
      <c r="B75" s="75">
        <v>8</v>
      </c>
      <c r="C75" s="75" t="s">
        <v>57</v>
      </c>
      <c r="D75" s="68" t="s">
        <v>64</v>
      </c>
      <c r="E75" s="70" t="s">
        <v>51</v>
      </c>
      <c r="F75" s="75">
        <v>15</v>
      </c>
      <c r="G75" s="75">
        <v>8</v>
      </c>
      <c r="H75" s="76">
        <f t="shared" si="17"/>
        <v>1.76715E-2</v>
      </c>
      <c r="I75" s="76">
        <f t="shared" si="23"/>
        <v>7.0685999999999999E-2</v>
      </c>
      <c r="J75" s="76">
        <f t="shared" si="26"/>
        <v>0.19203546599999999</v>
      </c>
      <c r="K75" s="76">
        <f t="shared" si="27"/>
        <v>0.76814186399999995</v>
      </c>
      <c r="L75" s="71">
        <f t="shared" si="25"/>
        <v>4</v>
      </c>
    </row>
    <row r="76" spans="1:15" x14ac:dyDescent="0.25">
      <c r="A76" s="75">
        <v>5</v>
      </c>
      <c r="B76" s="75">
        <v>9</v>
      </c>
      <c r="C76" s="75" t="s">
        <v>59</v>
      </c>
      <c r="D76" s="70" t="s">
        <v>65</v>
      </c>
      <c r="E76" s="70" t="s">
        <v>51</v>
      </c>
      <c r="F76" s="75">
        <v>13</v>
      </c>
      <c r="G76" s="75">
        <v>7</v>
      </c>
      <c r="H76" s="76">
        <f t="shared" si="17"/>
        <v>1.3273260000000002E-2</v>
      </c>
      <c r="I76" s="76">
        <f t="shared" si="23"/>
        <v>5.3093040000000008E-2</v>
      </c>
      <c r="J76" s="76">
        <f t="shared" si="26"/>
        <v>0.16334558300000002</v>
      </c>
      <c r="K76" s="76">
        <f t="shared" si="27"/>
        <v>0.65338233200000007</v>
      </c>
      <c r="L76" s="71">
        <f t="shared" si="25"/>
        <v>4</v>
      </c>
    </row>
    <row r="77" spans="1:15" x14ac:dyDescent="0.25">
      <c r="A77" s="75">
        <v>5</v>
      </c>
      <c r="B77" s="75">
        <v>10</v>
      </c>
      <c r="C77" s="75" t="s">
        <v>59</v>
      </c>
      <c r="D77" s="70" t="s">
        <v>65</v>
      </c>
      <c r="E77" s="70" t="s">
        <v>51</v>
      </c>
      <c r="F77" s="75">
        <v>14</v>
      </c>
      <c r="G77" s="75">
        <v>8</v>
      </c>
      <c r="H77" s="76">
        <f t="shared" si="17"/>
        <v>1.5393840000000002E-2</v>
      </c>
      <c r="I77" s="76">
        <f t="shared" si="23"/>
        <v>6.157536000000001E-2</v>
      </c>
      <c r="J77" s="76">
        <f t="shared" si="26"/>
        <v>0.18124769800000001</v>
      </c>
      <c r="K77" s="76">
        <f t="shared" si="27"/>
        <v>0.72499079200000005</v>
      </c>
      <c r="L77" s="71">
        <f t="shared" si="25"/>
        <v>4</v>
      </c>
    </row>
    <row r="78" spans="1:15" x14ac:dyDescent="0.25">
      <c r="A78" s="75">
        <v>5</v>
      </c>
      <c r="B78" s="75">
        <v>11</v>
      </c>
      <c r="C78" s="75" t="s">
        <v>59</v>
      </c>
      <c r="D78" s="70" t="s">
        <v>65</v>
      </c>
      <c r="E78" s="70" t="s">
        <v>51</v>
      </c>
      <c r="F78" s="75">
        <v>13</v>
      </c>
      <c r="G78" s="75">
        <v>6</v>
      </c>
      <c r="H78" s="76">
        <f t="shared" si="17"/>
        <v>1.3273260000000002E-2</v>
      </c>
      <c r="I78" s="76">
        <f t="shared" si="23"/>
        <v>5.3093040000000008E-2</v>
      </c>
      <c r="J78" s="76">
        <f t="shared" si="26"/>
        <v>0.15548725200000002</v>
      </c>
      <c r="K78" s="76">
        <f t="shared" si="27"/>
        <v>0.62194900800000008</v>
      </c>
      <c r="L78" s="71">
        <f t="shared" si="25"/>
        <v>4</v>
      </c>
    </row>
    <row r="79" spans="1:15" x14ac:dyDescent="0.25">
      <c r="A79" s="75">
        <v>5</v>
      </c>
      <c r="B79" s="75">
        <v>12</v>
      </c>
      <c r="C79" s="75" t="s">
        <v>59</v>
      </c>
      <c r="D79" s="70" t="s">
        <v>65</v>
      </c>
      <c r="E79" s="70" t="s">
        <v>51</v>
      </c>
      <c r="F79" s="75">
        <v>15</v>
      </c>
      <c r="G79" s="75">
        <v>9</v>
      </c>
      <c r="H79" s="76">
        <f t="shared" si="17"/>
        <v>1.76715E-2</v>
      </c>
      <c r="I79" s="76">
        <f t="shared" si="23"/>
        <v>7.0685999999999999E-2</v>
      </c>
      <c r="J79" s="76">
        <f t="shared" si="26"/>
        <v>0.20249774100000001</v>
      </c>
      <c r="K79" s="76">
        <f t="shared" si="27"/>
        <v>0.80999096400000004</v>
      </c>
      <c r="L79" s="71">
        <f t="shared" si="25"/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opLeftCell="A15" workbookViewId="0">
      <selection activeCell="D31" sqref="D31"/>
    </sheetView>
  </sheetViews>
  <sheetFormatPr baseColWidth="10" defaultColWidth="11.42578125" defaultRowHeight="15" x14ac:dyDescent="0.25"/>
  <cols>
    <col min="1" max="1" width="21.42578125" customWidth="1"/>
    <col min="2" max="2" width="19" customWidth="1"/>
    <col min="3" max="3" width="15.7109375" customWidth="1"/>
    <col min="4" max="4" width="18.42578125" bestFit="1" customWidth="1"/>
    <col min="5" max="5" width="10.7109375" bestFit="1" customWidth="1"/>
    <col min="6" max="6" width="13.28515625" customWidth="1"/>
    <col min="7" max="7" width="14" customWidth="1"/>
  </cols>
  <sheetData>
    <row r="3" spans="1:11" x14ac:dyDescent="0.25">
      <c r="A3" s="3" t="s">
        <v>12</v>
      </c>
      <c r="B3" t="s">
        <v>14</v>
      </c>
    </row>
    <row r="4" spans="1:11" x14ac:dyDescent="0.25">
      <c r="A4" s="4" t="s">
        <v>64</v>
      </c>
      <c r="B4" s="6">
        <v>28</v>
      </c>
    </row>
    <row r="5" spans="1:11" x14ac:dyDescent="0.25">
      <c r="A5" s="5" t="s">
        <v>57</v>
      </c>
      <c r="B5" s="6">
        <v>28</v>
      </c>
    </row>
    <row r="6" spans="1:11" x14ac:dyDescent="0.25">
      <c r="A6" s="4" t="s">
        <v>63</v>
      </c>
      <c r="B6" s="6">
        <v>3</v>
      </c>
    </row>
    <row r="7" spans="1:11" x14ac:dyDescent="0.25">
      <c r="A7" s="5" t="s">
        <v>53</v>
      </c>
      <c r="B7" s="6">
        <v>3</v>
      </c>
    </row>
    <row r="8" spans="1:11" x14ac:dyDescent="0.25">
      <c r="A8" s="4" t="s">
        <v>65</v>
      </c>
      <c r="B8" s="6">
        <v>47</v>
      </c>
    </row>
    <row r="9" spans="1:11" x14ac:dyDescent="0.25">
      <c r="A9" s="5" t="s">
        <v>59</v>
      </c>
      <c r="B9" s="6">
        <v>47</v>
      </c>
    </row>
    <row r="10" spans="1:11" x14ac:dyDescent="0.25">
      <c r="A10" s="4" t="s">
        <v>13</v>
      </c>
      <c r="B10" s="6">
        <v>78</v>
      </c>
      <c r="K10">
        <f>0.15*100/1.34</f>
        <v>11.194029850746269</v>
      </c>
    </row>
    <row r="13" spans="1:11" ht="30" customHeight="1" x14ac:dyDescent="0.25"/>
    <row r="19" spans="2:6" ht="30" x14ac:dyDescent="0.25">
      <c r="B19" s="16" t="s">
        <v>21</v>
      </c>
      <c r="C19" s="17" t="s">
        <v>22</v>
      </c>
      <c r="D19" s="60" t="s">
        <v>62</v>
      </c>
      <c r="E19" s="17" t="s">
        <v>23</v>
      </c>
      <c r="F19" s="18" t="s">
        <v>24</v>
      </c>
    </row>
    <row r="20" spans="2:6" s="1" customFormat="1" x14ac:dyDescent="0.25">
      <c r="B20" s="51">
        <v>1</v>
      </c>
      <c r="C20" s="53" t="str">
        <f>A5</f>
        <v>Chulube</v>
      </c>
      <c r="D20" s="53" t="str">
        <f>A4</f>
        <v>Arbutus xalapensis</v>
      </c>
      <c r="E20" s="52">
        <f>GETPIVOTDATA("No. Arbol",$A$3,"Especie","Arbutus xalapensis")</f>
        <v>28</v>
      </c>
      <c r="F20" s="56">
        <f>E20/E23*100</f>
        <v>35.897435897435898</v>
      </c>
    </row>
    <row r="21" spans="2:6" s="1" customFormat="1" x14ac:dyDescent="0.25">
      <c r="B21" s="51">
        <v>2</v>
      </c>
      <c r="C21" s="53" t="str">
        <f>A7</f>
        <v>Aliso</v>
      </c>
      <c r="D21" s="53" t="str">
        <f>A6</f>
        <v>Alnus jorullensis</v>
      </c>
      <c r="E21" s="52">
        <f>GETPIVOTDATA("No. Arbol",$A$3,"Especie","Alnus jorullensis")</f>
        <v>3</v>
      </c>
      <c r="F21" s="56">
        <f>E21/E23*100</f>
        <v>3.8461538461538463</v>
      </c>
    </row>
    <row r="22" spans="2:6" x14ac:dyDescent="0.25">
      <c r="B22" s="8">
        <v>3</v>
      </c>
      <c r="C22" s="8" t="str">
        <f>A9</f>
        <v>Pino triste</v>
      </c>
      <c r="D22" s="9" t="str">
        <f>A8</f>
        <v>Pinus pseudostrobus</v>
      </c>
      <c r="E22" s="54">
        <f>GETPIVOTDATA("No. Arbol",$A$3,"Especie","Pinus pseudostrobus")</f>
        <v>47</v>
      </c>
      <c r="F22" s="55">
        <f>E22/E23*100</f>
        <v>60.256410256410255</v>
      </c>
    </row>
    <row r="23" spans="2:6" x14ac:dyDescent="0.25">
      <c r="B23" s="89" t="s">
        <v>25</v>
      </c>
      <c r="C23" s="89"/>
      <c r="D23" s="89"/>
      <c r="E23" s="49">
        <f>SUM(E20:E22)</f>
        <v>78</v>
      </c>
      <c r="F23" s="19">
        <f>SUM(F20:F22)</f>
        <v>100</v>
      </c>
    </row>
  </sheetData>
  <mergeCells count="1">
    <mergeCell ref="B23:D23"/>
  </mergeCell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opLeftCell="B1" workbookViewId="0">
      <selection activeCell="A5" sqref="A5"/>
    </sheetView>
  </sheetViews>
  <sheetFormatPr baseColWidth="10" defaultColWidth="11.42578125" defaultRowHeight="15" x14ac:dyDescent="0.25"/>
  <cols>
    <col min="1" max="1" width="19.5703125" customWidth="1"/>
    <col min="2" max="3" width="21.28515625" customWidth="1"/>
    <col min="4" max="4" width="22.140625" customWidth="1"/>
    <col min="5" max="5" width="15.140625" customWidth="1"/>
    <col min="6" max="6" width="21" customWidth="1"/>
    <col min="7" max="7" width="10.42578125" customWidth="1"/>
    <col min="8" max="8" width="10.28515625" customWidth="1"/>
    <col min="9" max="9" width="7.85546875" customWidth="1"/>
    <col min="10" max="10" width="8.85546875" customWidth="1"/>
  </cols>
  <sheetData>
    <row r="3" spans="1:12" x14ac:dyDescent="0.25">
      <c r="B3" s="3" t="s">
        <v>16</v>
      </c>
    </row>
    <row r="4" spans="1:12" x14ac:dyDescent="0.25">
      <c r="A4" s="3" t="s">
        <v>12</v>
      </c>
      <c r="B4" s="1" t="s">
        <v>15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12" x14ac:dyDescent="0.25">
      <c r="A5" s="4" t="s">
        <v>64</v>
      </c>
      <c r="B5" s="7">
        <v>112</v>
      </c>
      <c r="C5" s="2">
        <v>15.982142857142858</v>
      </c>
      <c r="D5" s="2">
        <v>10.607142857142858</v>
      </c>
      <c r="E5" s="2">
        <v>2.3660174999999999</v>
      </c>
      <c r="F5" s="2">
        <v>28.072747511000003</v>
      </c>
    </row>
    <row r="6" spans="1:12" x14ac:dyDescent="0.25">
      <c r="A6" s="4" t="s">
        <v>63</v>
      </c>
      <c r="B6" s="7">
        <v>12</v>
      </c>
      <c r="C6" s="2">
        <v>19.333333333333332</v>
      </c>
      <c r="D6" s="2">
        <v>11</v>
      </c>
      <c r="E6" s="2">
        <v>0.38830176000000005</v>
      </c>
      <c r="F6" s="2">
        <v>3.7194831600000002</v>
      </c>
    </row>
    <row r="7" spans="1:12" x14ac:dyDescent="0.25">
      <c r="A7" s="4" t="s">
        <v>65</v>
      </c>
      <c r="B7" s="7">
        <v>188</v>
      </c>
      <c r="C7" s="2">
        <v>23.723404255319149</v>
      </c>
      <c r="D7" s="2">
        <v>14.48936170212766</v>
      </c>
      <c r="E7" s="2">
        <v>9.1816401600000042</v>
      </c>
      <c r="F7" s="2">
        <v>62.564177367999989</v>
      </c>
      <c r="L7">
        <f>2013-1977</f>
        <v>36</v>
      </c>
    </row>
    <row r="8" spans="1:12" x14ac:dyDescent="0.25">
      <c r="A8" s="4" t="s">
        <v>13</v>
      </c>
      <c r="B8" s="7">
        <v>312</v>
      </c>
      <c r="C8" s="2">
        <v>20.775641025641026</v>
      </c>
      <c r="D8" s="2">
        <v>12.961538461538462</v>
      </c>
      <c r="E8" s="2">
        <v>11.935959420000007</v>
      </c>
      <c r="F8" s="2">
        <v>94.356408038999987</v>
      </c>
    </row>
    <row r="12" spans="1:12" x14ac:dyDescent="0.25">
      <c r="B12" s="94" t="s">
        <v>26</v>
      </c>
      <c r="C12" s="94" t="s">
        <v>27</v>
      </c>
      <c r="D12" s="91" t="s">
        <v>3</v>
      </c>
      <c r="E12" s="90" t="s">
        <v>15</v>
      </c>
      <c r="F12" s="90" t="s">
        <v>17</v>
      </c>
      <c r="G12" s="90" t="s">
        <v>18</v>
      </c>
      <c r="H12" s="90" t="s">
        <v>19</v>
      </c>
      <c r="I12" s="91" t="s">
        <v>28</v>
      </c>
      <c r="J12" s="91"/>
    </row>
    <row r="13" spans="1:12" x14ac:dyDescent="0.25">
      <c r="B13" s="94"/>
      <c r="C13" s="94"/>
      <c r="D13" s="91"/>
      <c r="E13" s="90"/>
      <c r="F13" s="90"/>
      <c r="G13" s="90"/>
      <c r="H13" s="90"/>
      <c r="I13" s="15" t="s">
        <v>29</v>
      </c>
      <c r="J13" s="15" t="s">
        <v>26</v>
      </c>
    </row>
    <row r="14" spans="1:12" x14ac:dyDescent="0.25">
      <c r="B14" s="92">
        <v>1</v>
      </c>
      <c r="C14" s="93">
        <v>1.67</v>
      </c>
      <c r="D14" s="10" t="str">
        <f>A5</f>
        <v>Arbutus xalapensis</v>
      </c>
      <c r="E14" s="14">
        <f>GETPIVOTDATA("Suma de Densidad/Ha.",$A$3,"Especie","Arbutus xalapensis")</f>
        <v>112</v>
      </c>
      <c r="F14" s="11">
        <f>GETPIVOTDATA("Promedio de DAP (cm)",$A$3,"Especie","Arbutus xalapensis")</f>
        <v>15.982142857142858</v>
      </c>
      <c r="G14" s="11">
        <f>GETPIVOTDATA("Promedio de Altura (m)",$A$3,"Especie","Arbutus xalapensis")</f>
        <v>10.607142857142858</v>
      </c>
      <c r="H14" s="11">
        <f>GETPIVOTDATA("Suma de AB/Ha.",$A$3,"Especie","Arbutus xalapensis")</f>
        <v>2.3660174999999999</v>
      </c>
      <c r="I14" s="11">
        <f>GETPIVOTDATA("Suma de Volumen/Ha.",$A$3,"Especie","Arbutus xalapensis")</f>
        <v>28.072747511000003</v>
      </c>
      <c r="J14" s="12">
        <f>I14*$C$14</f>
        <v>46.881488343370002</v>
      </c>
    </row>
    <row r="15" spans="1:12" s="1" customFormat="1" x14ac:dyDescent="0.25">
      <c r="B15" s="92"/>
      <c r="C15" s="93"/>
      <c r="D15" s="10" t="str">
        <f>A6</f>
        <v>Alnus jorullensis</v>
      </c>
      <c r="E15" s="14">
        <f>GETPIVOTDATA("Suma de Densidad/Ha.",$A$3,"Especie","Alnus jorullensis")</f>
        <v>12</v>
      </c>
      <c r="F15" s="11">
        <f>GETPIVOTDATA("Promedio de DAP (cm)",$A$3,"Especie","Alnus jorullensis")</f>
        <v>19.333333333333332</v>
      </c>
      <c r="G15" s="11">
        <f>GETPIVOTDATA("Promedio de Altura (m)",$A$3,"Especie","Alnus jorullensis")</f>
        <v>11</v>
      </c>
      <c r="H15" s="11">
        <f>GETPIVOTDATA("Suma de AB/Ha.",$A$3,"Especie","Alnus jorullensis")</f>
        <v>0.38830176000000005</v>
      </c>
      <c r="I15" s="11">
        <f>GETPIVOTDATA("Suma de Volumen/Ha.",$A$3,"Especie","Alnus jorullensis")</f>
        <v>3.7194831600000002</v>
      </c>
      <c r="J15" s="59">
        <f t="shared" ref="J15:J17" si="0">I15*$C$14</f>
        <v>6.2115368772000004</v>
      </c>
    </row>
    <row r="16" spans="1:12" s="1" customFormat="1" x14ac:dyDescent="0.25">
      <c r="B16" s="92"/>
      <c r="C16" s="93"/>
      <c r="D16" s="10" t="str">
        <f>A7</f>
        <v>Pinus pseudostrobus</v>
      </c>
      <c r="E16" s="14">
        <f>GETPIVOTDATA("Suma de Densidad/Ha.",$A$3,"Especie","Pinus pseudostrobus")</f>
        <v>188</v>
      </c>
      <c r="F16" s="11">
        <f>GETPIVOTDATA("Promedio de DAP (cm)",$A$3,"Especie","Pinus pseudostrobus")</f>
        <v>23.723404255319149</v>
      </c>
      <c r="G16" s="11">
        <f>GETPIVOTDATA("Promedio de Altura (m)",$A$3,"Especie","Pinus pseudostrobus")</f>
        <v>14.48936170212766</v>
      </c>
      <c r="H16" s="11">
        <f>GETPIVOTDATA("Suma de AB/Ha.",$A$3,"Especie","Pinus pseudostrobus")</f>
        <v>9.1816401600000042</v>
      </c>
      <c r="I16" s="11">
        <f>GETPIVOTDATA("Suma de Volumen/Ha.",$A$3,"Especie","Pinus pseudostrobus")</f>
        <v>62.564177367999989</v>
      </c>
      <c r="J16" s="59">
        <f t="shared" si="0"/>
        <v>104.48217620455998</v>
      </c>
    </row>
    <row r="17" spans="2:10" s="1" customFormat="1" x14ac:dyDescent="0.25">
      <c r="B17" s="92"/>
      <c r="C17" s="93"/>
      <c r="D17" s="63" t="str">
        <f>A8</f>
        <v>Total general</v>
      </c>
      <c r="E17" s="64">
        <f>GETPIVOTDATA("Suma de Densidad/Ha.",$A$3)</f>
        <v>312</v>
      </c>
      <c r="F17" s="65">
        <f>GETPIVOTDATA("Promedio de DAP (cm)",$A$3)</f>
        <v>20.775641025641026</v>
      </c>
      <c r="G17" s="65">
        <f>GETPIVOTDATA("Promedio de Altura (m)",$A$3)</f>
        <v>12.961538461538462</v>
      </c>
      <c r="H17" s="65">
        <f>GETPIVOTDATA("Suma de AB/Ha.",$A$3)</f>
        <v>11.935959420000007</v>
      </c>
      <c r="I17" s="65">
        <f>GETPIVOTDATA("Suma de Volumen/Ha.",$A$3)</f>
        <v>94.356408038999987</v>
      </c>
      <c r="J17" s="66">
        <f t="shared" si="0"/>
        <v>157.57520142512996</v>
      </c>
    </row>
  </sheetData>
  <mergeCells count="10">
    <mergeCell ref="H12:H13"/>
    <mergeCell ref="I12:J12"/>
    <mergeCell ref="B14:B17"/>
    <mergeCell ref="C14:C17"/>
    <mergeCell ref="B12:B13"/>
    <mergeCell ref="C12:C13"/>
    <mergeCell ref="D12:D13"/>
    <mergeCell ref="E12:E13"/>
    <mergeCell ref="F12:F13"/>
    <mergeCell ref="G12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workbookViewId="0">
      <selection activeCell="G5" sqref="G5"/>
    </sheetView>
  </sheetViews>
  <sheetFormatPr baseColWidth="10" defaultColWidth="11.42578125" defaultRowHeight="15" x14ac:dyDescent="0.25"/>
  <cols>
    <col min="1" max="1" width="18.42578125" bestFit="1" customWidth="1"/>
    <col min="2" max="2" width="13" bestFit="1" customWidth="1"/>
    <col min="3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7" x14ac:dyDescent="0.25">
      <c r="B3" s="3" t="s">
        <v>16</v>
      </c>
    </row>
    <row r="4" spans="1:7" ht="30" x14ac:dyDescent="0.25">
      <c r="A4" s="44" t="s">
        <v>31</v>
      </c>
      <c r="B4" s="25" t="s">
        <v>15</v>
      </c>
      <c r="C4" s="25" t="s">
        <v>17</v>
      </c>
      <c r="D4" s="25" t="s">
        <v>18</v>
      </c>
      <c r="E4" s="25" t="s">
        <v>19</v>
      </c>
      <c r="F4" s="44" t="s">
        <v>20</v>
      </c>
      <c r="G4" s="18" t="s">
        <v>30</v>
      </c>
    </row>
    <row r="5" spans="1:7" x14ac:dyDescent="0.25">
      <c r="A5" s="43">
        <v>1</v>
      </c>
      <c r="B5" s="22">
        <v>56</v>
      </c>
      <c r="C5" s="23">
        <v>24.392857142857142</v>
      </c>
      <c r="D5" s="23">
        <v>14.5</v>
      </c>
      <c r="E5" s="23">
        <v>2.8645894200000002</v>
      </c>
      <c r="F5" s="42">
        <v>18.9597057758</v>
      </c>
      <c r="G5" s="24">
        <f>F5*1.67</f>
        <v>31.662708645585997</v>
      </c>
    </row>
    <row r="6" spans="1:7" x14ac:dyDescent="0.25">
      <c r="A6" s="43">
        <v>2</v>
      </c>
      <c r="B6" s="22">
        <v>76</v>
      </c>
      <c r="C6" s="23">
        <v>21.210526315789473</v>
      </c>
      <c r="D6" s="23">
        <v>13.263157894736842</v>
      </c>
      <c r="E6" s="23">
        <v>3.0269315999999997</v>
      </c>
      <c r="F6" s="42">
        <v>20.296583739200003</v>
      </c>
      <c r="G6" s="24">
        <f t="shared" ref="G6:G9" si="0">F6*1.67</f>
        <v>33.895294844464004</v>
      </c>
    </row>
    <row r="7" spans="1:7" x14ac:dyDescent="0.25">
      <c r="A7" s="43">
        <v>3</v>
      </c>
      <c r="B7" s="22">
        <v>72</v>
      </c>
      <c r="C7" s="23">
        <v>22.277777777777779</v>
      </c>
      <c r="D7" s="23">
        <v>14.5</v>
      </c>
      <c r="E7" s="23">
        <v>2.98860408</v>
      </c>
      <c r="F7" s="42">
        <v>21.494652493600004</v>
      </c>
      <c r="G7" s="24">
        <f t="shared" si="0"/>
        <v>35.896069664312002</v>
      </c>
    </row>
    <row r="8" spans="1:7" x14ac:dyDescent="0.25">
      <c r="A8" s="43">
        <v>4</v>
      </c>
      <c r="B8" s="22">
        <v>60</v>
      </c>
      <c r="C8" s="23">
        <v>17.066666666666666</v>
      </c>
      <c r="D8" s="23">
        <v>12.266666666666667</v>
      </c>
      <c r="E8" s="23">
        <v>1.4187465599999998</v>
      </c>
      <c r="F8" s="42">
        <v>15.2215087904</v>
      </c>
      <c r="G8" s="24">
        <f t="shared" si="0"/>
        <v>25.419919679967997</v>
      </c>
    </row>
    <row r="9" spans="1:7" x14ac:dyDescent="0.25">
      <c r="A9" s="43">
        <v>5</v>
      </c>
      <c r="B9" s="22">
        <v>48</v>
      </c>
      <c r="C9" s="23">
        <v>18.25</v>
      </c>
      <c r="D9" s="23">
        <v>9.25</v>
      </c>
      <c r="E9" s="23">
        <v>1.6370877600000002</v>
      </c>
      <c r="F9" s="42">
        <v>18.383957240000004</v>
      </c>
      <c r="G9" s="77">
        <f t="shared" si="0"/>
        <v>30.701208590800007</v>
      </c>
    </row>
    <row r="10" spans="1:7" x14ac:dyDescent="0.25">
      <c r="A10" s="46" t="s">
        <v>13</v>
      </c>
      <c r="B10" s="26">
        <v>312</v>
      </c>
      <c r="C10" s="27">
        <v>20.775641025641026</v>
      </c>
      <c r="D10" s="27">
        <v>12.961538461538462</v>
      </c>
      <c r="E10" s="27">
        <v>11.935959420000014</v>
      </c>
      <c r="F10" s="45">
        <v>94.356408038999973</v>
      </c>
      <c r="G10" s="78">
        <f>GETPIVOTDATA("Suma de Volumen/Ha.",$A$3)*1.67</f>
        <v>157.57520142512996</v>
      </c>
    </row>
  </sheetData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workbookViewId="0">
      <selection activeCell="A4" sqref="A4:G16"/>
    </sheetView>
  </sheetViews>
  <sheetFormatPr baseColWidth="10" defaultColWidth="11.42578125" defaultRowHeight="15" x14ac:dyDescent="0.25"/>
  <cols>
    <col min="1" max="1" width="21.42578125" bestFit="1" customWidth="1"/>
    <col min="2" max="4" width="12.42578125" bestFit="1" customWidth="1"/>
    <col min="5" max="5" width="8.5703125" bestFit="1" customWidth="1"/>
    <col min="6" max="6" width="12.85546875" bestFit="1" customWidth="1"/>
    <col min="7" max="7" width="10.42578125" customWidth="1"/>
  </cols>
  <sheetData>
    <row r="3" spans="1:8" x14ac:dyDescent="0.25">
      <c r="B3" s="3" t="s">
        <v>16</v>
      </c>
    </row>
    <row r="4" spans="1:8" ht="45" x14ac:dyDescent="0.25">
      <c r="A4" s="44" t="s">
        <v>33</v>
      </c>
      <c r="B4" s="25" t="s">
        <v>15</v>
      </c>
      <c r="C4" s="25" t="s">
        <v>17</v>
      </c>
      <c r="D4" s="25" t="s">
        <v>18</v>
      </c>
      <c r="E4" s="25" t="s">
        <v>19</v>
      </c>
      <c r="F4" s="44" t="s">
        <v>20</v>
      </c>
      <c r="G4" s="28" t="s">
        <v>32</v>
      </c>
    </row>
    <row r="5" spans="1:8" x14ac:dyDescent="0.25">
      <c r="A5" s="40" t="s">
        <v>64</v>
      </c>
      <c r="B5" s="20">
        <v>112</v>
      </c>
      <c r="C5" s="21">
        <v>15.982142857142858</v>
      </c>
      <c r="D5" s="21">
        <v>10.607142857142858</v>
      </c>
      <c r="E5" s="21">
        <v>2.3660175000000003</v>
      </c>
      <c r="F5" s="41">
        <v>28.072747511000003</v>
      </c>
      <c r="G5" s="13">
        <f>F5*1.67</f>
        <v>46.881488343370002</v>
      </c>
    </row>
    <row r="6" spans="1:8" x14ac:dyDescent="0.25">
      <c r="A6" s="5" t="s">
        <v>51</v>
      </c>
      <c r="B6" s="20">
        <v>92</v>
      </c>
      <c r="C6" s="21">
        <v>14.717391304347826</v>
      </c>
      <c r="D6" s="21">
        <v>9.9565217391304355</v>
      </c>
      <c r="E6" s="21">
        <v>1.6085777400000001</v>
      </c>
      <c r="F6" s="41">
        <v>19.906701210999998</v>
      </c>
      <c r="G6" s="58">
        <f t="shared" ref="G6:G16" si="0">F6*1.67</f>
        <v>33.244191022369996</v>
      </c>
    </row>
    <row r="7" spans="1:8" x14ac:dyDescent="0.25">
      <c r="A7" s="5" t="s">
        <v>52</v>
      </c>
      <c r="B7" s="20">
        <v>20</v>
      </c>
      <c r="C7" s="21">
        <v>21.8</v>
      </c>
      <c r="D7" s="21">
        <v>13.6</v>
      </c>
      <c r="E7" s="21">
        <v>0.75743976000000002</v>
      </c>
      <c r="F7" s="41">
        <v>8.1660462999999996</v>
      </c>
      <c r="G7" s="58">
        <f t="shared" si="0"/>
        <v>13.637297320999998</v>
      </c>
    </row>
    <row r="8" spans="1:8" x14ac:dyDescent="0.25">
      <c r="A8" s="40" t="s">
        <v>63</v>
      </c>
      <c r="B8" s="20">
        <v>12</v>
      </c>
      <c r="C8" s="21">
        <v>19.333333333333332</v>
      </c>
      <c r="D8" s="21">
        <v>11</v>
      </c>
      <c r="E8" s="21">
        <v>0.38830176000000005</v>
      </c>
      <c r="F8" s="41">
        <v>3.7194831600000002</v>
      </c>
      <c r="G8" s="13">
        <f t="shared" si="0"/>
        <v>6.2115368772000004</v>
      </c>
    </row>
    <row r="9" spans="1:8" x14ac:dyDescent="0.25">
      <c r="A9" s="5" t="s">
        <v>51</v>
      </c>
      <c r="B9" s="20">
        <v>8</v>
      </c>
      <c r="C9" s="21">
        <v>15</v>
      </c>
      <c r="D9" s="21">
        <v>11.5</v>
      </c>
      <c r="E9" s="21">
        <v>0.14200032000000001</v>
      </c>
      <c r="F9" s="41">
        <v>1.8279254560000002</v>
      </c>
      <c r="G9" s="58">
        <f t="shared" si="0"/>
        <v>3.0526355115200001</v>
      </c>
    </row>
    <row r="10" spans="1:8" x14ac:dyDescent="0.25">
      <c r="A10" s="5" t="s">
        <v>52</v>
      </c>
      <c r="B10" s="20">
        <v>4</v>
      </c>
      <c r="C10" s="21">
        <v>28</v>
      </c>
      <c r="D10" s="21">
        <v>10</v>
      </c>
      <c r="E10" s="21">
        <v>0.24630144000000004</v>
      </c>
      <c r="F10" s="41">
        <v>1.891557704</v>
      </c>
      <c r="G10" s="58">
        <f t="shared" si="0"/>
        <v>3.1589013656799998</v>
      </c>
    </row>
    <row r="11" spans="1:8" x14ac:dyDescent="0.25">
      <c r="A11" s="40" t="s">
        <v>65</v>
      </c>
      <c r="B11" s="20">
        <v>188</v>
      </c>
      <c r="C11" s="21">
        <v>23.723404255319149</v>
      </c>
      <c r="D11" s="21">
        <v>14.48936170212766</v>
      </c>
      <c r="E11" s="21">
        <v>9.1816401600000006</v>
      </c>
      <c r="F11" s="41">
        <v>62.564177367999996</v>
      </c>
      <c r="G11" s="13">
        <f t="shared" si="0"/>
        <v>104.48217620455999</v>
      </c>
      <c r="H11" s="48"/>
    </row>
    <row r="12" spans="1:8" x14ac:dyDescent="0.25">
      <c r="A12" s="5" t="s">
        <v>51</v>
      </c>
      <c r="B12" s="20">
        <v>64</v>
      </c>
      <c r="C12" s="21">
        <v>15.125</v>
      </c>
      <c r="D12" s="21">
        <v>10.8125</v>
      </c>
      <c r="E12" s="21">
        <v>1.1807703600000001</v>
      </c>
      <c r="F12" s="41">
        <v>7.8991216695999986</v>
      </c>
      <c r="G12" s="58">
        <f t="shared" si="0"/>
        <v>13.191533188231997</v>
      </c>
      <c r="H12" s="48"/>
    </row>
    <row r="13" spans="1:8" x14ac:dyDescent="0.25">
      <c r="A13" s="5" t="s">
        <v>52</v>
      </c>
      <c r="B13" s="20">
        <v>72</v>
      </c>
      <c r="C13" s="21">
        <v>24.583333333333332</v>
      </c>
      <c r="D13" s="21">
        <v>15.777777777777779</v>
      </c>
      <c r="E13" s="21">
        <v>3.4775155799999995</v>
      </c>
      <c r="F13" s="41">
        <v>21.679189863600001</v>
      </c>
      <c r="G13" s="58">
        <f t="shared" si="0"/>
        <v>36.204247072211999</v>
      </c>
      <c r="H13" s="48"/>
    </row>
    <row r="14" spans="1:8" x14ac:dyDescent="0.25">
      <c r="A14" s="5" t="s">
        <v>58</v>
      </c>
      <c r="B14" s="20">
        <v>44</v>
      </c>
      <c r="C14" s="21">
        <v>31.863636363636363</v>
      </c>
      <c r="D14" s="21">
        <v>17</v>
      </c>
      <c r="E14" s="21">
        <v>3.5180422200000003</v>
      </c>
      <c r="F14" s="41">
        <v>23.697114943599999</v>
      </c>
      <c r="G14" s="58">
        <f t="shared" si="0"/>
        <v>39.574181955811994</v>
      </c>
      <c r="H14" s="48"/>
    </row>
    <row r="15" spans="1:8" x14ac:dyDescent="0.25">
      <c r="A15" s="5" t="s">
        <v>60</v>
      </c>
      <c r="B15" s="20">
        <v>8</v>
      </c>
      <c r="C15" s="21">
        <v>40</v>
      </c>
      <c r="D15" s="21">
        <v>18.5</v>
      </c>
      <c r="E15" s="21">
        <v>1.0053120000000002</v>
      </c>
      <c r="F15" s="41">
        <v>9.2887508911999994</v>
      </c>
      <c r="G15" s="58">
        <f t="shared" si="0"/>
        <v>15.512213988303998</v>
      </c>
      <c r="H15" s="48"/>
    </row>
    <row r="16" spans="1:8" x14ac:dyDescent="0.25">
      <c r="A16" s="47" t="s">
        <v>13</v>
      </c>
      <c r="B16" s="38">
        <v>312</v>
      </c>
      <c r="C16" s="39">
        <v>20.775641025641026</v>
      </c>
      <c r="D16" s="39">
        <v>12.961538461538462</v>
      </c>
      <c r="E16" s="39">
        <v>11.935959420000003</v>
      </c>
      <c r="F16" s="57">
        <v>94.356408038999987</v>
      </c>
      <c r="G16" s="80">
        <f t="shared" si="0"/>
        <v>157.57520142512996</v>
      </c>
    </row>
  </sheetData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I10" sqref="I10"/>
    </sheetView>
  </sheetViews>
  <sheetFormatPr baseColWidth="10" defaultColWidth="11.42578125" defaultRowHeight="15" x14ac:dyDescent="0.25"/>
  <cols>
    <col min="5" max="5" width="21.140625" customWidth="1"/>
    <col min="6" max="6" width="12.85546875" customWidth="1"/>
  </cols>
  <sheetData>
    <row r="2" spans="2:6" x14ac:dyDescent="0.25">
      <c r="B2" s="61" t="s">
        <v>61</v>
      </c>
      <c r="C2" s="62">
        <v>0.9</v>
      </c>
    </row>
    <row r="3" spans="2:6" x14ac:dyDescent="0.25">
      <c r="B3" s="95" t="s">
        <v>34</v>
      </c>
      <c r="C3" s="95"/>
      <c r="D3" s="29" t="s">
        <v>35</v>
      </c>
      <c r="E3" s="29" t="s">
        <v>36</v>
      </c>
      <c r="F3" s="30" t="s">
        <v>37</v>
      </c>
    </row>
    <row r="4" spans="2:6" x14ac:dyDescent="0.25">
      <c r="B4" s="95"/>
      <c r="C4" s="95"/>
      <c r="D4" s="31">
        <v>1.67</v>
      </c>
      <c r="E4" s="79">
        <v>2.1320000000000001</v>
      </c>
      <c r="F4" s="31">
        <v>5</v>
      </c>
    </row>
    <row r="5" spans="2:6" x14ac:dyDescent="0.25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</row>
    <row r="6" spans="2:6" x14ac:dyDescent="0.25">
      <c r="B6" s="29">
        <v>1</v>
      </c>
      <c r="C6" s="42">
        <v>18.9597057758</v>
      </c>
      <c r="D6" s="32">
        <f>C6*C6</f>
        <v>359.47044310490389</v>
      </c>
      <c r="E6" s="29" t="s">
        <v>43</v>
      </c>
      <c r="F6" s="33">
        <f>C16/F4</f>
        <v>18.8712816078</v>
      </c>
    </row>
    <row r="7" spans="2:6" x14ac:dyDescent="0.25">
      <c r="B7" s="29">
        <v>2</v>
      </c>
      <c r="C7" s="42">
        <v>20.296583739200003</v>
      </c>
      <c r="D7" s="32">
        <f>C7*C7</f>
        <v>411.95131148235794</v>
      </c>
      <c r="E7" s="29" t="s">
        <v>44</v>
      </c>
      <c r="F7" s="34">
        <f>(((D16)-((C16*C16)/F4))/(F4-1))</f>
        <v>5.6199266154517318</v>
      </c>
    </row>
    <row r="8" spans="2:6" x14ac:dyDescent="0.25">
      <c r="B8" s="29">
        <v>3</v>
      </c>
      <c r="C8" s="42">
        <v>21.494652493600004</v>
      </c>
      <c r="D8" s="32">
        <f>C8*C8</f>
        <v>462.02008582062484</v>
      </c>
      <c r="E8" s="29" t="s">
        <v>45</v>
      </c>
      <c r="F8" s="34">
        <f>SQRT(F7)</f>
        <v>2.3706384404737326</v>
      </c>
    </row>
    <row r="9" spans="2:6" x14ac:dyDescent="0.25">
      <c r="B9" s="29">
        <v>4</v>
      </c>
      <c r="C9" s="42">
        <v>15.2215087904</v>
      </c>
      <c r="D9" s="32">
        <f t="shared" ref="D9:D15" si="0">C9*C9</f>
        <v>231.69432985622447</v>
      </c>
      <c r="E9" s="29" t="s">
        <v>46</v>
      </c>
      <c r="F9" s="34">
        <f>SQRT(((F7)/F4)*(1-((F4)/(D4*10))))</f>
        <v>0.8873909912022373</v>
      </c>
    </row>
    <row r="10" spans="2:6" x14ac:dyDescent="0.25">
      <c r="B10" s="50">
        <v>5</v>
      </c>
      <c r="C10" s="42">
        <v>18.383957240000004</v>
      </c>
      <c r="D10" s="32">
        <f t="shared" si="0"/>
        <v>337.96988380214856</v>
      </c>
      <c r="E10" s="29" t="s">
        <v>47</v>
      </c>
      <c r="F10" s="34">
        <f>F9*E4</f>
        <v>1.89191759324317</v>
      </c>
    </row>
    <row r="11" spans="2:6" x14ac:dyDescent="0.25">
      <c r="B11" s="50"/>
      <c r="C11" s="42"/>
      <c r="D11" s="32">
        <f t="shared" si="0"/>
        <v>0</v>
      </c>
      <c r="E11" s="29" t="s">
        <v>47</v>
      </c>
      <c r="F11" s="36">
        <f>((F10)/F6)</f>
        <v>0.10025379476406045</v>
      </c>
    </row>
    <row r="12" spans="2:6" x14ac:dyDescent="0.25">
      <c r="B12" s="29"/>
      <c r="C12" s="35"/>
      <c r="D12" s="32">
        <f t="shared" si="0"/>
        <v>0</v>
      </c>
      <c r="E12" s="29" t="s">
        <v>48</v>
      </c>
      <c r="F12" s="34">
        <f>F6+F10</f>
        <v>20.763199201043172</v>
      </c>
    </row>
    <row r="13" spans="2:6" x14ac:dyDescent="0.25">
      <c r="B13" s="29"/>
      <c r="C13" s="35"/>
      <c r="D13" s="32">
        <f t="shared" si="0"/>
        <v>0</v>
      </c>
      <c r="E13" s="29" t="s">
        <v>49</v>
      </c>
      <c r="F13" s="34">
        <f>F6-F10</f>
        <v>16.979364014556829</v>
      </c>
    </row>
    <row r="14" spans="2:6" x14ac:dyDescent="0.25">
      <c r="B14" s="29"/>
      <c r="C14" s="35"/>
      <c r="D14" s="32">
        <f t="shared" si="0"/>
        <v>0</v>
      </c>
      <c r="E14" s="29"/>
      <c r="F14" s="34"/>
    </row>
    <row r="15" spans="2:6" x14ac:dyDescent="0.25">
      <c r="B15" s="29"/>
      <c r="C15" s="35"/>
      <c r="D15" s="32">
        <f t="shared" si="0"/>
        <v>0</v>
      </c>
      <c r="E15" s="29"/>
      <c r="F15" s="34"/>
    </row>
    <row r="16" spans="2:6" x14ac:dyDescent="0.25">
      <c r="B16" s="29" t="s">
        <v>50</v>
      </c>
      <c r="C16" s="37">
        <f>SUM(C6:C15)</f>
        <v>94.356408039000002</v>
      </c>
      <c r="D16" s="37">
        <f>SUM(D6:D15)</f>
        <v>1803.1060540662597</v>
      </c>
      <c r="E16" s="29"/>
      <c r="F16" s="29"/>
    </row>
  </sheetData>
  <mergeCells count="1">
    <mergeCell ref="B3:C4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G1"/>
    </sheetView>
  </sheetViews>
  <sheetFormatPr baseColWidth="10" defaultColWidth="11.42578125" defaultRowHeight="15" x14ac:dyDescent="0.25"/>
  <sheetData>
    <row r="1" spans="1:3" x14ac:dyDescent="0.25">
      <c r="A1" s="81" t="s">
        <v>21</v>
      </c>
      <c r="B1" s="81" t="s">
        <v>66</v>
      </c>
      <c r="C1" s="81" t="s">
        <v>67</v>
      </c>
    </row>
    <row r="2" spans="1:3" x14ac:dyDescent="0.25">
      <c r="A2" s="82">
        <v>1</v>
      </c>
      <c r="B2" s="82">
        <v>391923</v>
      </c>
      <c r="C2" s="82">
        <v>1724732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4" sqref="E4"/>
    </sheetView>
  </sheetViews>
  <sheetFormatPr baseColWidth="10" defaultColWidth="11.42578125" defaultRowHeight="15" x14ac:dyDescent="0.25"/>
  <cols>
    <col min="1" max="1" width="11.42578125" style="1"/>
    <col min="2" max="2" width="4.140625" bestFit="1" customWidth="1"/>
    <col min="3" max="3" width="7" bestFit="1" customWidth="1"/>
    <col min="4" max="4" width="8" bestFit="1" customWidth="1"/>
    <col min="5" max="5" width="14.140625" bestFit="1" customWidth="1"/>
    <col min="6" max="6" width="11.7109375" bestFit="1" customWidth="1"/>
    <col min="7" max="7" width="7" bestFit="1" customWidth="1"/>
    <col min="8" max="8" width="4.28515625" bestFit="1" customWidth="1"/>
    <col min="9" max="9" width="9.5703125" bestFit="1" customWidth="1"/>
    <col min="10" max="10" width="6.140625" bestFit="1" customWidth="1"/>
    <col min="11" max="11" width="15.7109375" bestFit="1" customWidth="1"/>
  </cols>
  <sheetData>
    <row r="1" spans="1:11" x14ac:dyDescent="0.25">
      <c r="A1" s="87" t="s">
        <v>73</v>
      </c>
      <c r="B1" s="81" t="s">
        <v>21</v>
      </c>
      <c r="C1" s="81" t="s">
        <v>66</v>
      </c>
      <c r="D1" s="81" t="s">
        <v>67</v>
      </c>
      <c r="E1" s="84" t="s">
        <v>68</v>
      </c>
      <c r="F1" s="84" t="s">
        <v>71</v>
      </c>
      <c r="G1" s="84" t="s">
        <v>70</v>
      </c>
      <c r="H1" s="87" t="s">
        <v>74</v>
      </c>
      <c r="I1" s="87" t="s">
        <v>75</v>
      </c>
      <c r="J1" s="87" t="s">
        <v>76</v>
      </c>
      <c r="K1" s="84" t="s">
        <v>69</v>
      </c>
    </row>
    <row r="2" spans="1:11" x14ac:dyDescent="0.25">
      <c r="A2" s="88" t="s">
        <v>77</v>
      </c>
      <c r="B2" s="82">
        <v>1</v>
      </c>
      <c r="C2" s="82">
        <v>391941</v>
      </c>
      <c r="D2" s="82">
        <v>1724809</v>
      </c>
      <c r="E2" s="85">
        <f>500/10000</f>
        <v>0.05</v>
      </c>
      <c r="G2" s="86">
        <v>41306</v>
      </c>
      <c r="K2" t="s">
        <v>72</v>
      </c>
    </row>
    <row r="3" spans="1:11" x14ac:dyDescent="0.25">
      <c r="A3" s="88" t="s">
        <v>77</v>
      </c>
      <c r="B3" s="82">
        <v>2</v>
      </c>
      <c r="C3" s="82">
        <v>391933</v>
      </c>
      <c r="D3" s="82">
        <v>1724841</v>
      </c>
      <c r="E3" s="85">
        <f t="shared" ref="E3:E6" si="0">500/10000</f>
        <v>0.05</v>
      </c>
      <c r="G3" s="86">
        <v>41306</v>
      </c>
      <c r="K3" s="1" t="s">
        <v>72</v>
      </c>
    </row>
    <row r="4" spans="1:11" x14ac:dyDescent="0.25">
      <c r="A4" s="88" t="s">
        <v>77</v>
      </c>
      <c r="B4" s="82">
        <v>3</v>
      </c>
      <c r="C4" s="82">
        <v>391977</v>
      </c>
      <c r="D4" s="82">
        <v>1724870</v>
      </c>
      <c r="E4" s="85">
        <f t="shared" si="0"/>
        <v>0.05</v>
      </c>
      <c r="G4" s="86">
        <v>41306</v>
      </c>
      <c r="K4" s="1" t="s">
        <v>72</v>
      </c>
    </row>
    <row r="5" spans="1:11" x14ac:dyDescent="0.25">
      <c r="A5" s="88" t="s">
        <v>77</v>
      </c>
      <c r="B5" s="82">
        <v>4</v>
      </c>
      <c r="C5" s="82">
        <v>392024</v>
      </c>
      <c r="D5" s="82">
        <v>1724924</v>
      </c>
      <c r="E5" s="85">
        <f t="shared" si="0"/>
        <v>0.05</v>
      </c>
      <c r="G5" s="86">
        <v>41306</v>
      </c>
      <c r="K5" s="1" t="s">
        <v>72</v>
      </c>
    </row>
    <row r="6" spans="1:11" x14ac:dyDescent="0.25">
      <c r="A6" s="88" t="s">
        <v>77</v>
      </c>
      <c r="B6" s="83">
        <v>5</v>
      </c>
      <c r="C6" s="83">
        <v>391913</v>
      </c>
      <c r="D6" s="83">
        <v>1724759</v>
      </c>
      <c r="E6" s="85">
        <f t="shared" si="0"/>
        <v>0.05</v>
      </c>
      <c r="G6" s="86">
        <v>41306</v>
      </c>
      <c r="K6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base de datos</vt:lpstr>
      <vt:lpstr>% de abundancia</vt:lpstr>
      <vt:lpstr>cuadro 3</vt:lpstr>
      <vt:lpstr>anexo 2</vt:lpstr>
      <vt:lpstr>anexo 3</vt:lpstr>
      <vt:lpstr>analisis</vt:lpstr>
      <vt:lpstr>P. referencia</vt:lpstr>
      <vt:lpstr>Parcelas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DangerGo</cp:lastModifiedBy>
  <cp:lastPrinted>2013-10-30T04:25:04Z</cp:lastPrinted>
  <dcterms:created xsi:type="dcterms:W3CDTF">2013-02-20T15:36:32Z</dcterms:created>
  <dcterms:modified xsi:type="dcterms:W3CDTF">2017-03-27T00:06:05Z</dcterms:modified>
</cp:coreProperties>
</file>