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"/>
    </mc:Choice>
  </mc:AlternateContent>
  <bookViews>
    <workbookView xWindow="240" yWindow="75" windowWidth="15480" windowHeight="7995" activeTab="7"/>
  </bookViews>
  <sheets>
    <sheet name="base de datos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  <sheet name="P. referencia" sheetId="8" r:id="rId7"/>
    <sheet name="Parcelas" sheetId="9" r:id="rId8"/>
  </sheets>
  <definedNames>
    <definedName name="_xlnm._FilterDatabase" localSheetId="0" hidden="1">'base de datos'!$A$1:$L$56</definedName>
  </definedNames>
  <calcPr calcId="152511"/>
  <pivotCaches>
    <pivotCache cacheId="41" r:id="rId9"/>
  </pivotCaches>
</workbook>
</file>

<file path=xl/calcChain.xml><?xml version="1.0" encoding="utf-8"?>
<calcChain xmlns="http://schemas.openxmlformats.org/spreadsheetml/2006/main">
  <c r="E5" i="9" l="1"/>
  <c r="E4" i="9"/>
  <c r="E3" i="9"/>
  <c r="E2" i="9"/>
  <c r="H37" i="1" l="1"/>
  <c r="J37" i="1"/>
  <c r="H41" i="1"/>
  <c r="J41" i="1"/>
  <c r="H42" i="1"/>
  <c r="J42" i="1"/>
  <c r="D16" i="5"/>
  <c r="J56" i="1"/>
  <c r="J55" i="1"/>
  <c r="J54" i="1"/>
  <c r="J50" i="1"/>
  <c r="J35" i="1"/>
  <c r="J27" i="1"/>
  <c r="J26" i="1"/>
  <c r="J25" i="1"/>
  <c r="J24" i="1"/>
  <c r="J23" i="1"/>
  <c r="J22" i="1"/>
  <c r="J20" i="1"/>
  <c r="J19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H56" i="1"/>
  <c r="H55" i="1"/>
  <c r="H54" i="1"/>
  <c r="J53" i="1"/>
  <c r="H53" i="1"/>
  <c r="J52" i="1"/>
  <c r="H52" i="1"/>
  <c r="J51" i="1"/>
  <c r="H51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H15" i="1"/>
  <c r="H14" i="1"/>
  <c r="H12" i="1"/>
  <c r="H11" i="1"/>
  <c r="H9" i="1"/>
  <c r="H8" i="1"/>
  <c r="H7" i="1"/>
  <c r="H6" i="1"/>
  <c r="G6" i="7"/>
  <c r="G7" i="7"/>
  <c r="G8" i="7"/>
  <c r="G9" i="7"/>
  <c r="G10" i="7"/>
  <c r="G11" i="7"/>
  <c r="G12" i="7"/>
  <c r="G13" i="7"/>
  <c r="G14" i="7"/>
  <c r="G15" i="7"/>
  <c r="G16" i="7"/>
  <c r="G17" i="7"/>
  <c r="G5" i="7"/>
  <c r="G9" i="6"/>
  <c r="G8" i="6"/>
  <c r="G7" i="6"/>
  <c r="G6" i="6"/>
  <c r="G5" i="6"/>
  <c r="E16" i="4"/>
  <c r="E15" i="4"/>
  <c r="E14" i="4"/>
  <c r="D16" i="4"/>
  <c r="D15" i="4"/>
  <c r="D14" i="4"/>
  <c r="J40" i="1"/>
  <c r="J39" i="1"/>
  <c r="J38" i="1"/>
  <c r="J36" i="1"/>
  <c r="J33" i="1"/>
  <c r="J32" i="1"/>
  <c r="J31" i="1"/>
  <c r="J30" i="1"/>
  <c r="J29" i="1"/>
  <c r="J28" i="1"/>
  <c r="H28" i="1"/>
  <c r="H29" i="1"/>
  <c r="H30" i="1"/>
  <c r="H31" i="1"/>
  <c r="H32" i="1"/>
  <c r="H33" i="1"/>
  <c r="H34" i="1"/>
  <c r="J34" i="1"/>
  <c r="H35" i="1"/>
  <c r="H36" i="1"/>
  <c r="H38" i="1"/>
  <c r="H39" i="1"/>
  <c r="H40" i="1"/>
  <c r="J21" i="1"/>
  <c r="J18" i="1"/>
  <c r="J16" i="1"/>
  <c r="J3" i="1"/>
  <c r="H18" i="1"/>
  <c r="H19" i="1"/>
  <c r="J2" i="1"/>
  <c r="H3" i="1"/>
  <c r="N3" i="1"/>
  <c r="L4" i="1" s="1"/>
  <c r="D15" i="5"/>
  <c r="D14" i="5"/>
  <c r="K10" i="4"/>
  <c r="L7" i="5"/>
  <c r="C16" i="2"/>
  <c r="F6" i="2" s="1"/>
  <c r="D15" i="2"/>
  <c r="D14" i="2"/>
  <c r="D13" i="2"/>
  <c r="D12" i="2"/>
  <c r="D11" i="2"/>
  <c r="D10" i="2"/>
  <c r="D9" i="2"/>
  <c r="D8" i="2"/>
  <c r="D7" i="2"/>
  <c r="D6" i="2"/>
  <c r="H4" i="1"/>
  <c r="H5" i="1"/>
  <c r="I5" i="1" s="1"/>
  <c r="H10" i="1"/>
  <c r="H13" i="1"/>
  <c r="I13" i="1" s="1"/>
  <c r="H16" i="1"/>
  <c r="H17" i="1"/>
  <c r="I17" i="1" s="1"/>
  <c r="H20" i="1"/>
  <c r="H21" i="1"/>
  <c r="H22" i="1"/>
  <c r="H23" i="1"/>
  <c r="H24" i="1"/>
  <c r="H25" i="1"/>
  <c r="H26" i="1"/>
  <c r="H27" i="1"/>
  <c r="H2" i="1"/>
  <c r="I15" i="5"/>
  <c r="E14" i="5"/>
  <c r="F17" i="5"/>
  <c r="H16" i="5"/>
  <c r="F15" i="4"/>
  <c r="F15" i="5"/>
  <c r="I16" i="5"/>
  <c r="G14" i="5"/>
  <c r="F16" i="4"/>
  <c r="H15" i="5"/>
  <c r="H14" i="5"/>
  <c r="I17" i="5"/>
  <c r="E17" i="5"/>
  <c r="G16" i="5"/>
  <c r="E15" i="5"/>
  <c r="F16" i="5"/>
  <c r="F14" i="4"/>
  <c r="F14" i="5"/>
  <c r="G17" i="5"/>
  <c r="H17" i="5"/>
  <c r="E16" i="5"/>
  <c r="G15" i="5"/>
  <c r="I14" i="5"/>
  <c r="L37" i="1" l="1"/>
  <c r="I37" i="1"/>
  <c r="K37" i="1"/>
  <c r="I42" i="1"/>
  <c r="K42" i="1"/>
  <c r="L42" i="1"/>
  <c r="K41" i="1"/>
  <c r="I41" i="1"/>
  <c r="L41" i="1"/>
  <c r="D16" i="2"/>
  <c r="K56" i="1"/>
  <c r="I55" i="1"/>
  <c r="L56" i="1"/>
  <c r="K55" i="1"/>
  <c r="I56" i="1"/>
  <c r="L55" i="1"/>
  <c r="I15" i="1"/>
  <c r="K53" i="1"/>
  <c r="K2" i="1"/>
  <c r="K11" i="1"/>
  <c r="K7" i="1"/>
  <c r="I14" i="1"/>
  <c r="K15" i="1"/>
  <c r="L14" i="1"/>
  <c r="K43" i="1"/>
  <c r="I44" i="1"/>
  <c r="L44" i="1"/>
  <c r="K45" i="1"/>
  <c r="I46" i="1"/>
  <c r="L46" i="1"/>
  <c r="K47" i="1"/>
  <c r="I48" i="1"/>
  <c r="L48" i="1"/>
  <c r="K49" i="1"/>
  <c r="I50" i="1"/>
  <c r="L50" i="1"/>
  <c r="K51" i="1"/>
  <c r="I52" i="1"/>
  <c r="L52" i="1"/>
  <c r="L53" i="1"/>
  <c r="L54" i="1"/>
  <c r="K14" i="1"/>
  <c r="L15" i="1"/>
  <c r="I43" i="1"/>
  <c r="L43" i="1"/>
  <c r="K44" i="1"/>
  <c r="I45" i="1"/>
  <c r="L45" i="1"/>
  <c r="K46" i="1"/>
  <c r="I47" i="1"/>
  <c r="L47" i="1"/>
  <c r="K48" i="1"/>
  <c r="I49" i="1"/>
  <c r="L49" i="1"/>
  <c r="K50" i="1"/>
  <c r="I51" i="1"/>
  <c r="L51" i="1"/>
  <c r="K52" i="1"/>
  <c r="I53" i="1"/>
  <c r="K54" i="1"/>
  <c r="I54" i="1"/>
  <c r="I6" i="1"/>
  <c r="I8" i="1"/>
  <c r="I11" i="1"/>
  <c r="L12" i="1"/>
  <c r="L11" i="1"/>
  <c r="K10" i="1"/>
  <c r="K9" i="1"/>
  <c r="L8" i="1"/>
  <c r="L7" i="1"/>
  <c r="K6" i="1"/>
  <c r="I7" i="1"/>
  <c r="I9" i="1"/>
  <c r="I12" i="1"/>
  <c r="K12" i="1"/>
  <c r="L10" i="1"/>
  <c r="L9" i="1"/>
  <c r="K8" i="1"/>
  <c r="L6" i="1"/>
  <c r="K30" i="1"/>
  <c r="J17" i="5"/>
  <c r="J16" i="5"/>
  <c r="F17" i="4"/>
  <c r="G16" i="4" s="1"/>
  <c r="L40" i="1"/>
  <c r="I40" i="1"/>
  <c r="K38" i="1"/>
  <c r="K36" i="1"/>
  <c r="L35" i="1"/>
  <c r="I35" i="1"/>
  <c r="K33" i="1"/>
  <c r="K32" i="1"/>
  <c r="L31" i="1"/>
  <c r="I31" i="1"/>
  <c r="K29" i="1"/>
  <c r="I28" i="1"/>
  <c r="K40" i="1"/>
  <c r="K39" i="1"/>
  <c r="L38" i="1"/>
  <c r="I38" i="1"/>
  <c r="K35" i="1"/>
  <c r="K34" i="1"/>
  <c r="L33" i="1"/>
  <c r="I33" i="1"/>
  <c r="K31" i="1"/>
  <c r="L29" i="1"/>
  <c r="I29" i="1"/>
  <c r="L39" i="1"/>
  <c r="I39" i="1"/>
  <c r="L36" i="1"/>
  <c r="I36" i="1"/>
  <c r="L34" i="1"/>
  <c r="I34" i="1"/>
  <c r="L32" i="1"/>
  <c r="I32" i="1"/>
  <c r="L30" i="1"/>
  <c r="I30" i="1"/>
  <c r="L28" i="1"/>
  <c r="K28" i="1"/>
  <c r="I26" i="1"/>
  <c r="I24" i="1"/>
  <c r="I22" i="1"/>
  <c r="I20" i="1"/>
  <c r="I2" i="1"/>
  <c r="I27" i="1"/>
  <c r="I25" i="1"/>
  <c r="I23" i="1"/>
  <c r="I21" i="1"/>
  <c r="I16" i="1"/>
  <c r="I10" i="1"/>
  <c r="I4" i="1"/>
  <c r="I18" i="1"/>
  <c r="K18" i="1"/>
  <c r="K20" i="1"/>
  <c r="K19" i="1"/>
  <c r="I19" i="1"/>
  <c r="L18" i="1"/>
  <c r="L19" i="1"/>
  <c r="K22" i="1"/>
  <c r="K24" i="1"/>
  <c r="K26" i="1"/>
  <c r="K4" i="1"/>
  <c r="K16" i="1"/>
  <c r="K27" i="1"/>
  <c r="K25" i="1"/>
  <c r="K23" i="1"/>
  <c r="K21" i="1"/>
  <c r="K17" i="1"/>
  <c r="K13" i="1"/>
  <c r="K5" i="1"/>
  <c r="K3" i="1"/>
  <c r="I3" i="1"/>
  <c r="L27" i="1"/>
  <c r="L25" i="1"/>
  <c r="L23" i="1"/>
  <c r="L21" i="1"/>
  <c r="L17" i="1"/>
  <c r="L13" i="1"/>
  <c r="L5" i="1"/>
  <c r="L3" i="1"/>
  <c r="L2" i="1"/>
  <c r="L26" i="1"/>
  <c r="L24" i="1"/>
  <c r="L22" i="1"/>
  <c r="L20" i="1"/>
  <c r="L16" i="1"/>
  <c r="F7" i="2"/>
  <c r="F9" i="2" s="1"/>
  <c r="F10" i="2" s="1"/>
  <c r="F11" i="2" s="1"/>
  <c r="J14" i="5"/>
  <c r="J15" i="5"/>
  <c r="G15" i="4" l="1"/>
  <c r="G14" i="4"/>
  <c r="F8" i="2"/>
  <c r="F13" i="2"/>
  <c r="F12" i="2"/>
  <c r="G17" i="4" l="1"/>
</calcChain>
</file>

<file path=xl/sharedStrings.xml><?xml version="1.0" encoding="utf-8"?>
<sst xmlns="http://schemas.openxmlformats.org/spreadsheetml/2006/main" count="284" uniqueCount="80">
  <si>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</si>
  <si>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</si>
  <si>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</si>
  <si>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</si>
  <si>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</si>
  <si>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</si>
  <si>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</si>
  <si>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</si>
  <si>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</si>
  <si>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</si>
  <si>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</si>
  <si>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</si>
  <si>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Rótulos de fila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</si>
  <si>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</si>
  <si>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</si>
  <si>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</si>
  <si>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</si>
  <si>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</si>
  <si>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</si>
  <si>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</si>
  <si>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</si>
  <si>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</si>
  <si>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</si>
  <si>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</si>
  <si>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</si>
  <si>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</si>
  <si>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</si>
  <si>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</si>
  <si>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</si>
  <si>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</si>
  <si>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</si>
  <si>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</si>
  <si>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</si>
  <si>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</si>
  <si>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</si>
  <si>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</si>
  <si>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</si>
  <si>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</si>
  <si>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</si>
  <si>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</si>
  <si>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</si>
  <si>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</si>
  <si>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</si>
  <si>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</si>
  <si>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</si>
  <si>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</si>
  <si>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</si>
  <si>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</si>
  <si>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</si>
  <si>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</si>
  <si>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</si>
  <si>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</si>
  <si>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10 - 19.9</t>
  </si>
  <si>
    <t>20 - 29.9</t>
  </si>
  <si>
    <t>ha.</t>
  </si>
  <si>
    <t>mts.</t>
  </si>
  <si>
    <t>Cupresus lusitanica</t>
  </si>
  <si>
    <t>Chulube</t>
  </si>
  <si>
    <t>Pino triste</t>
  </si>
  <si>
    <t>Pinus psudostrobus</t>
  </si>
  <si>
    <t>N.D</t>
  </si>
  <si>
    <t>30 - 39.9</t>
  </si>
  <si>
    <t xml:space="preserve">Ciprés </t>
  </si>
  <si>
    <t>Arbutus xalapensis</t>
  </si>
  <si>
    <t>Pinus pseudostrobus</t>
  </si>
  <si>
    <t>X</t>
  </si>
  <si>
    <t>Y</t>
  </si>
  <si>
    <t>id</t>
  </si>
  <si>
    <t>x</t>
  </si>
  <si>
    <t>y</t>
  </si>
  <si>
    <t>PROPIETARIO</t>
  </si>
  <si>
    <t>AREA PARCELA</t>
  </si>
  <si>
    <t>AREA TOTAL</t>
  </si>
  <si>
    <t>FECHA</t>
  </si>
  <si>
    <t>Julio Carrillo</t>
  </si>
  <si>
    <t>BASE_DATOS</t>
  </si>
  <si>
    <t>AÑO</t>
  </si>
  <si>
    <t>MUNICIPIO</t>
  </si>
  <si>
    <t>DEPTO</t>
  </si>
  <si>
    <t>BD7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</si>
</sst>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1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2" fillId="4" borderId="1" xfId="0" applyFont="1" applyFill="1" applyBorder="1" applyAlignment="1">
      <alignment horizontal="left"/>
    </xf>
    <xf numFmtId="1" fontId="2" fillId="4" borderId="1" xfId="0" applyNumberFormat="1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5" borderId="1" xfId="0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 wrapText="1"/>
    </xf>
    <xf numFmtId="2" fontId="0" fillId="5" borderId="1" xfId="0" applyNumberFormat="1" applyFill="1" applyBorder="1" applyAlignment="1">
      <alignment horizont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5" fillId="7" borderId="1" xfId="1" applyFont="1" applyFill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2" fontId="0" fillId="0" borderId="1" xfId="0" applyNumberFormat="1" applyFill="1" applyBorder="1" applyAlignment="1">
      <alignment horizontal="center" vertical="center"/>
    </xf>
    <xf numFmtId="10" fontId="6" fillId="8" borderId="1" xfId="2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2" xfId="0" applyFill="1" applyBorder="1" applyAlignment="1">
      <alignment horizontal="left"/>
    </xf>
    <xf numFmtId="0" fontId="0" fillId="3" borderId="0" xfId="0" applyFill="1" applyBorder="1"/>
    <xf numFmtId="0" fontId="7" fillId="9" borderId="1" xfId="0" applyFont="1" applyFill="1" applyBorder="1"/>
    <xf numFmtId="0" fontId="0" fillId="10" borderId="1" xfId="0" applyFill="1" applyBorder="1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0" fontId="2" fillId="0" borderId="0" xfId="0" applyFont="1" applyBorder="1"/>
    <xf numFmtId="0" fontId="0" fillId="11" borderId="0" xfId="0" applyFill="1" applyBorder="1"/>
    <xf numFmtId="0" fontId="0" fillId="11" borderId="0" xfId="0" applyFill="1"/>
    <xf numFmtId="0" fontId="2" fillId="11" borderId="0" xfId="0" applyFont="1" applyFill="1" applyBorder="1"/>
    <xf numFmtId="0" fontId="2" fillId="11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2" fontId="0" fillId="5" borderId="2" xfId="0" applyNumberForma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2" fontId="2" fillId="4" borderId="1" xfId="0" applyNumberFormat="1" applyFont="1" applyFill="1" applyBorder="1"/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7" fillId="11" borderId="4" xfId="0" applyFont="1" applyFill="1" applyBorder="1"/>
    <xf numFmtId="0" fontId="0" fillId="11" borderId="4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9" fillId="0" borderId="1" xfId="0" applyFont="1" applyBorder="1"/>
    <xf numFmtId="2" fontId="0" fillId="0" borderId="1" xfId="0" applyNumberFormat="1" applyFill="1" applyBorder="1"/>
    <xf numFmtId="2" fontId="0" fillId="0" borderId="1" xfId="0" applyNumberFormat="1" applyFont="1" applyFill="1" applyBorder="1"/>
    <xf numFmtId="0" fontId="8" fillId="0" borderId="1" xfId="0" applyFont="1" applyBorder="1"/>
    <xf numFmtId="0" fontId="0" fillId="0" borderId="1" xfId="0" applyFont="1" applyFill="1" applyBorder="1"/>
    <xf numFmtId="0" fontId="0" fillId="0" borderId="5" xfId="0" applyFont="1" applyFill="1" applyBorder="1" applyAlignment="1">
      <alignment horizontal="center" vertical="center"/>
    </xf>
    <xf numFmtId="17" fontId="0" fillId="0" borderId="0" xfId="0" applyNumberFormat="1"/>
    <xf numFmtId="0" fontId="10" fillId="1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40"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757.717804050924" createdVersion="3" refreshedVersion="3" minRefreshableVersion="3" recordCount="55">
  <cacheSource type="worksheet">
    <worksheetSource ref="A1:L56" sheet="base de datos"/>
  </cacheSource>
  <cacheFields count="12">
    <cacheField name="Parcela" numFmtId="0">
      <sharedItems containsSemiMixedTypes="0" containsString="0" containsNumber="1" containsInteger="1" minValue="1" maxValue="5" count="5">
        <n v="1"/>
        <n v="2"/>
        <n v="3"/>
        <n v="4"/>
        <n v="5" u="1"/>
      </sharedItems>
    </cacheField>
    <cacheField name="No. Arbol" numFmtId="0">
      <sharedItems containsSemiMixedTypes="0" containsString="0" containsNumber="1" containsInteger="1" minValue="1" maxValue="16"/>
    </cacheField>
    <cacheField name="Nombre común" numFmtId="0">
      <sharedItems count="3">
        <s v="Pino triste"/>
        <s v="Chulube"/>
        <s v="Ciprés "/>
      </sharedItems>
    </cacheField>
    <cacheField name="Especie" numFmtId="0">
      <sharedItems count="3">
        <s v="Pinus psudostrobus"/>
        <s v="N.D"/>
        <s v="Cupresus lusitanica"/>
      </sharedItems>
    </cacheField>
    <cacheField name="Clase diámetrica" numFmtId="0">
      <sharedItems count="5">
        <s v="10 - 19.9"/>
        <s v="20 - 29.9"/>
        <s v="30 - 39.9"/>
        <s v="40 - 49.9" u="1"/>
        <s v="70 - 79.9" u="1"/>
      </sharedItems>
    </cacheField>
    <cacheField name="DAP (cm)" numFmtId="0">
      <sharedItems containsSemiMixedTypes="0" containsString="0" containsNumber="1" minValue="10" maxValue="36"/>
    </cacheField>
    <cacheField name="Altura (m)" numFmtId="0">
      <sharedItems containsSemiMixedTypes="0" containsString="0" containsNumber="1" minValue="6" maxValue="22"/>
    </cacheField>
    <cacheField name="Area Basal (m2)" numFmtId="2">
      <sharedItems containsSemiMixedTypes="0" containsString="0" containsNumber="1" minValue="7.8540000000000016E-3" maxValue="0.10178783999999999"/>
    </cacheField>
    <cacheField name="AB/Ha." numFmtId="2">
      <sharedItems containsSemiMixedTypes="0" containsString="0" containsNumber="1" minValue="3.9270000000000006E-2" maxValue="0.50893919999999992"/>
    </cacheField>
    <cacheField name="Volumen (m3)" numFmtId="2">
      <sharedItems containsSemiMixedTypes="0" containsString="0" containsNumber="1" minValue="2.7965336799999997E-2" maxValue="0.73256862319999994"/>
    </cacheField>
    <cacheField name="Volumen/Ha." numFmtId="2">
      <sharedItems containsSemiMixedTypes="0" containsString="0" containsNumber="1" minValue="0.13982668399999998" maxValue="3.6628431159999995"/>
    </cacheField>
    <cacheField name="Densidad/Ha." numFmtId="2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n v="1"/>
    <x v="0"/>
    <x v="0"/>
    <x v="0"/>
    <n v="13"/>
    <n v="8"/>
    <n v="1.3273260000000002E-2"/>
    <n v="6.6366300000000003E-2"/>
    <n v="4.3755407199999999E-2"/>
    <n v="0.21877703599999998"/>
    <n v="5"/>
  </r>
  <r>
    <x v="0"/>
    <n v="2"/>
    <x v="1"/>
    <x v="1"/>
    <x v="0"/>
    <n v="14"/>
    <n v="6"/>
    <n v="1.5393840000000002E-2"/>
    <n v="7.6969200000000002E-2"/>
    <n v="0.16302009000000001"/>
    <n v="0.81510044999999998"/>
    <n v="5"/>
  </r>
  <r>
    <x v="0"/>
    <n v="3"/>
    <x v="0"/>
    <x v="0"/>
    <x v="0"/>
    <n v="14"/>
    <n v="10"/>
    <n v="1.5393840000000002E-2"/>
    <n v="7.6969200000000002E-2"/>
    <n v="6.114736879999999E-2"/>
    <n v="0.30573684399999995"/>
    <n v="5"/>
  </r>
  <r>
    <x v="0"/>
    <n v="4"/>
    <x v="0"/>
    <x v="0"/>
    <x v="1"/>
    <n v="22"/>
    <n v="14"/>
    <n v="3.8013359999999996E-2"/>
    <n v="0.19006679999999998"/>
    <n v="0.198910012"/>
    <n v="0.9945500599999999"/>
    <n v="5"/>
  </r>
  <r>
    <x v="0"/>
    <n v="5"/>
    <x v="0"/>
    <x v="0"/>
    <x v="0"/>
    <n v="10"/>
    <n v="8"/>
    <n v="7.8540000000000016E-3"/>
    <n v="3.9270000000000006E-2"/>
    <n v="2.7965336799999997E-2"/>
    <n v="0.13982668399999998"/>
    <n v="5"/>
  </r>
  <r>
    <x v="0"/>
    <n v="6"/>
    <x v="0"/>
    <x v="0"/>
    <x v="0"/>
    <n v="14"/>
    <n v="10"/>
    <n v="1.5393840000000002E-2"/>
    <n v="7.6969200000000002E-2"/>
    <n v="6.114736879999999E-2"/>
    <n v="0.30573684399999995"/>
    <n v="5"/>
  </r>
  <r>
    <x v="0"/>
    <n v="7"/>
    <x v="0"/>
    <x v="0"/>
    <x v="0"/>
    <n v="13"/>
    <n v="12"/>
    <n v="1.3273260000000002E-2"/>
    <n v="6.6366300000000003E-2"/>
    <n v="6.3092522400000003E-2"/>
    <n v="0.31546261199999998"/>
    <n v="5"/>
  </r>
  <r>
    <x v="0"/>
    <n v="8"/>
    <x v="0"/>
    <x v="0"/>
    <x v="0"/>
    <n v="10"/>
    <n v="10"/>
    <n v="7.8540000000000016E-3"/>
    <n v="3.9270000000000006E-2"/>
    <n v="3.3686376800000001E-2"/>
    <n v="0.168431884"/>
    <n v="5"/>
  </r>
  <r>
    <x v="0"/>
    <n v="9"/>
    <x v="0"/>
    <x v="0"/>
    <x v="2"/>
    <n v="35"/>
    <n v="8"/>
    <n v="9.6211499999999991E-2"/>
    <n v="0.48105749999999992"/>
    <n v="0.28541213679999994"/>
    <n v="1.4270606839999995"/>
    <n v="5"/>
  </r>
  <r>
    <x v="0"/>
    <n v="10"/>
    <x v="0"/>
    <x v="0"/>
    <x v="2"/>
    <n v="35"/>
    <n v="12"/>
    <n v="9.6211499999999991E-2"/>
    <n v="0.48105749999999992"/>
    <n v="0.42557761679999995"/>
    <n v="2.1278880839999994"/>
    <n v="5"/>
  </r>
  <r>
    <x v="0"/>
    <n v="11"/>
    <x v="0"/>
    <x v="0"/>
    <x v="2"/>
    <n v="36"/>
    <n v="10"/>
    <n v="0.10178783999999999"/>
    <n v="0.50893919999999992"/>
    <n v="0.37580456879999996"/>
    <n v="1.8790228439999996"/>
    <n v="5"/>
  </r>
  <r>
    <x v="0"/>
    <n v="12"/>
    <x v="0"/>
    <x v="0"/>
    <x v="1"/>
    <n v="28"/>
    <n v="13"/>
    <n v="6.157536000000001E-2"/>
    <n v="0.30787680000000001"/>
    <n v="0.29662537519999999"/>
    <n v="1.4831268759999998"/>
    <n v="5"/>
  </r>
  <r>
    <x v="0"/>
    <n v="13"/>
    <x v="0"/>
    <x v="0"/>
    <x v="1"/>
    <n v="13"/>
    <n v="12"/>
    <n v="1.3273260000000002E-2"/>
    <n v="6.6366300000000003E-2"/>
    <n v="6.3092522400000003E-2"/>
    <n v="0.31546261199999998"/>
    <n v="5"/>
  </r>
  <r>
    <x v="0"/>
    <n v="14"/>
    <x v="0"/>
    <x v="0"/>
    <x v="1"/>
    <n v="14"/>
    <n v="11"/>
    <n v="1.5393840000000002E-2"/>
    <n v="7.6969200000000002E-2"/>
    <n v="6.6753988E-2"/>
    <n v="0.33376993999999999"/>
    <n v="5"/>
  </r>
  <r>
    <x v="0"/>
    <n v="15"/>
    <x v="1"/>
    <x v="1"/>
    <x v="1"/>
    <n v="26"/>
    <n v="15"/>
    <n v="5.3093040000000008E-2"/>
    <n v="0.26546520000000001"/>
    <n v="0.57983712600000004"/>
    <n v="2.8991856299999998"/>
    <n v="5"/>
  </r>
  <r>
    <x v="0"/>
    <n v="16"/>
    <x v="0"/>
    <x v="0"/>
    <x v="2"/>
    <n v="30"/>
    <n v="15.3"/>
    <n v="7.0685999999999999E-2"/>
    <n v="0.35342999999999997"/>
    <n v="0.39897478079999993"/>
    <n v="1.9948739039999996"/>
    <n v="5"/>
  </r>
  <r>
    <x v="1"/>
    <n v="1"/>
    <x v="1"/>
    <x v="1"/>
    <x v="0"/>
    <n v="12"/>
    <n v="10"/>
    <n v="1.130976E-2"/>
    <n v="5.6548799999999996E-2"/>
    <n v="0.17529582599999999"/>
    <n v="0.87647912999999988"/>
    <n v="5"/>
  </r>
  <r>
    <x v="1"/>
    <n v="2"/>
    <x v="0"/>
    <x v="0"/>
    <x v="2"/>
    <n v="30"/>
    <n v="17"/>
    <n v="7.0685999999999999E-2"/>
    <n v="0.35342999999999997"/>
    <n v="0.44274073679999998"/>
    <n v="2.2137036839999999"/>
    <n v="5"/>
  </r>
  <r>
    <x v="1"/>
    <n v="3"/>
    <x v="0"/>
    <x v="0"/>
    <x v="1"/>
    <n v="23"/>
    <n v="16"/>
    <n v="4.154766E-2"/>
    <n v="0.20773829999999999"/>
    <n v="0.24719558959999999"/>
    <n v="1.2359779479999999"/>
    <n v="5"/>
  </r>
  <r>
    <x v="1"/>
    <n v="4"/>
    <x v="1"/>
    <x v="1"/>
    <x v="1"/>
    <n v="21"/>
    <n v="10"/>
    <n v="3.4636139999999996E-2"/>
    <n v="0.17318069999999997"/>
    <n v="0.31339785600000003"/>
    <n v="1.56698928"/>
    <n v="5"/>
  </r>
  <r>
    <x v="1"/>
    <n v="5"/>
    <x v="0"/>
    <x v="0"/>
    <x v="0"/>
    <n v="14"/>
    <n v="12"/>
    <n v="1.5393840000000002E-2"/>
    <n v="7.6969200000000002E-2"/>
    <n v="7.2360607199999996E-2"/>
    <n v="0.36180303599999997"/>
    <n v="5"/>
  </r>
  <r>
    <x v="1"/>
    <n v="6"/>
    <x v="0"/>
    <x v="0"/>
    <x v="2"/>
    <n v="32"/>
    <n v="20"/>
    <n v="8.0424960000000004E-2"/>
    <n v="0.4021248"/>
    <n v="0.5909156727999999"/>
    <n v="2.9545783639999992"/>
    <n v="5"/>
  </r>
  <r>
    <x v="1"/>
    <n v="7"/>
    <x v="0"/>
    <x v="0"/>
    <x v="2"/>
    <n v="30"/>
    <n v="17"/>
    <n v="7.0685999999999999E-2"/>
    <n v="0.35342999999999997"/>
    <n v="0.44274073679999998"/>
    <n v="2.2137036839999999"/>
    <n v="5"/>
  </r>
  <r>
    <x v="1"/>
    <n v="8"/>
    <x v="0"/>
    <x v="0"/>
    <x v="1"/>
    <n v="25"/>
    <n v="18"/>
    <n v="4.9087499999999999E-2"/>
    <n v="0.24543749999999998"/>
    <n v="0.32688967679999997"/>
    <n v="1.6344483839999997"/>
    <n v="5"/>
  </r>
  <r>
    <x v="1"/>
    <n v="9"/>
    <x v="0"/>
    <x v="0"/>
    <x v="2"/>
    <n v="34"/>
    <n v="22"/>
    <n v="9.079224000000001E-2"/>
    <n v="0.45396120000000001"/>
    <n v="0.73256862319999994"/>
    <n v="3.6628431159999995"/>
    <n v="5"/>
  </r>
  <r>
    <x v="1"/>
    <n v="10"/>
    <x v="0"/>
    <x v="0"/>
    <x v="0"/>
    <n v="17"/>
    <n v="16"/>
    <n v="2.2698060000000003E-2"/>
    <n v="0.1134903"/>
    <n v="0.1373516216"/>
    <n v="0.68675810799999992"/>
    <n v="5"/>
  </r>
  <r>
    <x v="2"/>
    <n v="1"/>
    <x v="2"/>
    <x v="2"/>
    <x v="1"/>
    <n v="26"/>
    <n v="17"/>
    <n v="5.3093040000000008E-2"/>
    <n v="0.26546520000000001"/>
    <n v="0.34573798499999997"/>
    <n v="1.7286899249999998"/>
    <n v="5"/>
  </r>
  <r>
    <x v="2"/>
    <n v="2"/>
    <x v="2"/>
    <x v="2"/>
    <x v="0"/>
    <n v="17"/>
    <n v="17"/>
    <n v="2.2698060000000003E-2"/>
    <n v="0.1134903"/>
    <n v="0.1555167264"/>
    <n v="0.77758363199999991"/>
    <n v="5"/>
  </r>
  <r>
    <x v="2"/>
    <n v="3"/>
    <x v="2"/>
    <x v="2"/>
    <x v="0"/>
    <n v="19"/>
    <n v="16"/>
    <n v="2.835294E-2"/>
    <n v="0.14176469999999999"/>
    <n v="0.18046899059999999"/>
    <n v="0.90234495299999995"/>
    <n v="5"/>
  </r>
  <r>
    <x v="2"/>
    <n v="4"/>
    <x v="2"/>
    <x v="2"/>
    <x v="0"/>
    <n v="16"/>
    <n v="16"/>
    <n v="2.0106240000000001E-2"/>
    <n v="0.1005312"/>
    <n v="0.1318944786"/>
    <n v="0.65947239299999993"/>
    <n v="5"/>
  </r>
  <r>
    <x v="2"/>
    <n v="5"/>
    <x v="2"/>
    <x v="2"/>
    <x v="0"/>
    <n v="19"/>
    <n v="17"/>
    <n v="2.835294E-2"/>
    <n v="0.14176469999999999"/>
    <n v="0.190906728"/>
    <n v="0.95453363999999996"/>
    <n v="5"/>
  </r>
  <r>
    <x v="2"/>
    <n v="6"/>
    <x v="2"/>
    <x v="2"/>
    <x v="0"/>
    <n v="17"/>
    <n v="15"/>
    <n v="2.2698060000000003E-2"/>
    <n v="0.1134903"/>
    <n v="0.1388047812"/>
    <n v="0.69402390599999997"/>
    <n v="5"/>
  </r>
  <r>
    <x v="2"/>
    <n v="7"/>
    <x v="1"/>
    <x v="1"/>
    <x v="0"/>
    <n v="14"/>
    <n v="10"/>
    <n v="1.5393840000000002E-2"/>
    <n v="7.6969200000000002E-2"/>
    <n v="0.19947530600000002"/>
    <n v="0.99737653000000004"/>
    <n v="5"/>
  </r>
  <r>
    <x v="2"/>
    <n v="8"/>
    <x v="0"/>
    <x v="0"/>
    <x v="0"/>
    <n v="19"/>
    <n v="15"/>
    <n v="2.835294E-2"/>
    <n v="0.14176469999999999"/>
    <n v="0.15997833479999998"/>
    <n v="0.79989167399999983"/>
    <n v="5"/>
  </r>
  <r>
    <x v="2"/>
    <n v="9"/>
    <x v="2"/>
    <x v="2"/>
    <x v="0"/>
    <n v="18"/>
    <n v="14"/>
    <n v="2.5446959999999998E-2"/>
    <n v="0.12723479999999998"/>
    <n v="0.14461637460000001"/>
    <n v="0.72308187300000004"/>
    <n v="5"/>
  </r>
  <r>
    <x v="2"/>
    <n v="10"/>
    <x v="2"/>
    <x v="2"/>
    <x v="1"/>
    <n v="26"/>
    <n v="18"/>
    <n v="5.3093040000000008E-2"/>
    <n v="0.26546520000000001"/>
    <n v="0.36528344339999996"/>
    <n v="1.8264172169999997"/>
    <n v="5"/>
  </r>
  <r>
    <x v="2"/>
    <n v="11"/>
    <x v="2"/>
    <x v="2"/>
    <x v="0"/>
    <n v="19"/>
    <n v="15"/>
    <n v="2.835294E-2"/>
    <n v="0.14176469999999999"/>
    <n v="0.17003125320000001"/>
    <n v="0.85015626600000005"/>
    <n v="5"/>
  </r>
  <r>
    <x v="2"/>
    <n v="12"/>
    <x v="2"/>
    <x v="2"/>
    <x v="0"/>
    <n v="19.8"/>
    <n v="15"/>
    <n v="3.0790821600000001E-2"/>
    <n v="0.15395410800000001"/>
    <n v="0.18349333224"/>
    <n v="0.91746666119999998"/>
    <n v="5"/>
  </r>
  <r>
    <x v="2"/>
    <n v="13"/>
    <x v="2"/>
    <x v="2"/>
    <x v="1"/>
    <n v="28"/>
    <n v="18"/>
    <n v="6.157536000000001E-2"/>
    <n v="0.30787680000000001"/>
    <n v="0.42149109299999998"/>
    <n v="2.1074554649999997"/>
    <n v="5"/>
  </r>
  <r>
    <x v="3"/>
    <n v="1"/>
    <x v="0"/>
    <x v="0"/>
    <x v="0"/>
    <n v="17"/>
    <n v="15"/>
    <n v="2.2698060000000003E-2"/>
    <n v="0.1134903"/>
    <n v="0.1290847188"/>
    <n v="0.64542359399999993"/>
    <n v="5"/>
  </r>
  <r>
    <x v="3"/>
    <n v="2"/>
    <x v="0"/>
    <x v="0"/>
    <x v="1"/>
    <n v="20"/>
    <n v="10"/>
    <n v="3.1416000000000006E-2"/>
    <n v="0.15708000000000003"/>
    <n v="0.11950197679999999"/>
    <n v="0.59750988399999994"/>
    <n v="5"/>
  </r>
  <r>
    <x v="3"/>
    <n v="3"/>
    <x v="2"/>
    <x v="2"/>
    <x v="1"/>
    <n v="25"/>
    <n v="17"/>
    <n v="4.9087499999999999E-2"/>
    <n v="0.24543749999999998"/>
    <n v="0.32067006719999996"/>
    <n v="1.6033503359999997"/>
    <n v="5"/>
  </r>
  <r>
    <x v="3"/>
    <n v="4"/>
    <x v="2"/>
    <x v="2"/>
    <x v="0"/>
    <n v="16"/>
    <n v="16"/>
    <n v="2.0106240000000001E-2"/>
    <n v="0.1005312"/>
    <n v="0.1318944786"/>
    <n v="0.65947239299999993"/>
    <n v="5"/>
  </r>
  <r>
    <x v="3"/>
    <n v="5"/>
    <x v="2"/>
    <x v="2"/>
    <x v="0"/>
    <n v="19"/>
    <n v="15"/>
    <n v="2.835294E-2"/>
    <n v="0.14176469999999999"/>
    <n v="0.17003125320000001"/>
    <n v="0.85015626600000005"/>
    <n v="5"/>
  </r>
  <r>
    <x v="3"/>
    <n v="6"/>
    <x v="2"/>
    <x v="2"/>
    <x v="0"/>
    <n v="15"/>
    <n v="14"/>
    <n v="1.76715E-2"/>
    <n v="8.8357499999999992E-2"/>
    <n v="0.10454240220000001"/>
    <n v="0.52271201099999998"/>
    <n v="5"/>
  </r>
  <r>
    <x v="3"/>
    <n v="7"/>
    <x v="2"/>
    <x v="2"/>
    <x v="0"/>
    <n v="18"/>
    <n v="17"/>
    <n v="2.5446959999999998E-2"/>
    <n v="0.12723479999999998"/>
    <n v="0.1727201994"/>
    <n v="0.86360099699999993"/>
    <n v="5"/>
  </r>
  <r>
    <x v="3"/>
    <n v="8"/>
    <x v="2"/>
    <x v="2"/>
    <x v="0"/>
    <n v="16"/>
    <n v="15"/>
    <n v="2.0106240000000001E-2"/>
    <n v="0.1005312"/>
    <n v="0.1244926482"/>
    <n v="0.62246324099999994"/>
    <n v="5"/>
  </r>
  <r>
    <x v="3"/>
    <n v="9"/>
    <x v="1"/>
    <x v="1"/>
    <x v="0"/>
    <n v="11"/>
    <n v="10"/>
    <n v="9.503339999999999E-3"/>
    <n v="4.7516699999999995E-2"/>
    <n v="0.164601056"/>
    <n v="0.82300527999999995"/>
    <n v="5"/>
  </r>
  <r>
    <x v="3"/>
    <n v="10"/>
    <x v="0"/>
    <x v="0"/>
    <x v="0"/>
    <n v="19"/>
    <n v="15"/>
    <n v="2.835294E-2"/>
    <n v="0.14176469999999999"/>
    <n v="0.15997833479999998"/>
    <n v="0.79989167399999983"/>
    <n v="5"/>
  </r>
  <r>
    <x v="3"/>
    <n v="11"/>
    <x v="2"/>
    <x v="2"/>
    <x v="0"/>
    <n v="17"/>
    <n v="14"/>
    <n v="2.2698060000000003E-2"/>
    <n v="0.1134903"/>
    <n v="0.13044880859999999"/>
    <n v="0.65224404299999994"/>
    <n v="5"/>
  </r>
  <r>
    <x v="3"/>
    <n v="12"/>
    <x v="2"/>
    <x v="2"/>
    <x v="0"/>
    <n v="19"/>
    <n v="15"/>
    <n v="2.835294E-2"/>
    <n v="0.14176469999999999"/>
    <n v="0.17003125320000001"/>
    <n v="0.85015626600000005"/>
    <n v="5"/>
  </r>
  <r>
    <x v="3"/>
    <n v="13"/>
    <x v="2"/>
    <x v="2"/>
    <x v="0"/>
    <n v="19.8"/>
    <n v="15"/>
    <n v="3.0790821600000001E-2"/>
    <n v="0.15395410800000001"/>
    <n v="0.18349333224"/>
    <n v="0.91746666119999998"/>
    <n v="5"/>
  </r>
  <r>
    <x v="3"/>
    <n v="14"/>
    <x v="0"/>
    <x v="0"/>
    <x v="1"/>
    <n v="22"/>
    <n v="14"/>
    <n v="3.8013359999999996E-2"/>
    <n v="0.19006679999999998"/>
    <n v="0.198910012"/>
    <n v="0.9945500599999999"/>
    <n v="5"/>
  </r>
  <r>
    <x v="3"/>
    <n v="15"/>
    <x v="0"/>
    <x v="0"/>
    <x v="1"/>
    <n v="20"/>
    <n v="15"/>
    <n v="3.1416000000000006E-2"/>
    <n v="0.15708000000000003"/>
    <n v="0.17671237679999999"/>
    <n v="0.88356188399999991"/>
    <n v="5"/>
  </r>
  <r>
    <x v="3"/>
    <n v="16"/>
    <x v="0"/>
    <x v="0"/>
    <x v="1"/>
    <n v="20"/>
    <n v="15"/>
    <n v="3.1416000000000006E-2"/>
    <n v="0.15708000000000003"/>
    <n v="0.17671237679999999"/>
    <n v="0.8835618839999999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2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4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8" firstHeaderRow="1" firstDataRow="2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4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9" firstHeaderRow="1" firstDataRow="2" firstDataCol="1"/>
  <pivotFields count="12">
    <pivotField axis="axisRow" showAll="0">
      <items count="6">
        <item x="0"/>
        <item x="1"/>
        <item x="2"/>
        <item x="3"/>
        <item m="1"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4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15" firstHeaderRow="1" firstDataRow="2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m="1" x="3"/>
        <item m="1" x="4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7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field="3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78" zoomScaleNormal="78" workbookViewId="0">
      <selection activeCell="P6" sqref="P6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24.140625" customWidth="1"/>
  </cols>
  <sheetData>
    <row r="1" spans="1:15" ht="24" x14ac:dyDescent="0.25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</row>
    <row r="2" spans="1:15" x14ac:dyDescent="0.25">
      <c r="A2" s="77">
        <v>1</v>
      </c>
      <c r="B2" s="77">
        <v>1</v>
      </c>
      <c r="C2" s="78" t="s">
        <v>58</v>
      </c>
      <c r="D2" s="79" t="s">
        <v>64</v>
      </c>
      <c r="E2" s="77" t="s">
        <v>52</v>
      </c>
      <c r="F2" s="65">
        <v>13</v>
      </c>
      <c r="G2" s="65">
        <v>8</v>
      </c>
      <c r="H2" s="80">
        <f>0.7854*(F2/100)^2</f>
        <v>1.3273260000000002E-2</v>
      </c>
      <c r="I2" s="81">
        <f t="shared" ref="I2:I27" si="0">H2*1/$N$3</f>
        <v>6.6366300000000003E-2</v>
      </c>
      <c r="J2" s="80">
        <f>(0.0050811768+0.0000286052*(F2^2*G2))</f>
        <v>4.3755407199999999E-2</v>
      </c>
      <c r="K2" s="81">
        <f>J2/$N$3</f>
        <v>0.21877703599999998</v>
      </c>
      <c r="L2" s="81">
        <f>1*1/$N$3</f>
        <v>5</v>
      </c>
      <c r="M2" s="74" t="s">
        <v>55</v>
      </c>
      <c r="N2" s="56" t="s">
        <v>54</v>
      </c>
    </row>
    <row r="3" spans="1:15" x14ac:dyDescent="0.25">
      <c r="A3" s="77">
        <v>1</v>
      </c>
      <c r="B3" s="77">
        <v>2</v>
      </c>
      <c r="C3" s="78" t="s">
        <v>57</v>
      </c>
      <c r="D3" s="82" t="s">
        <v>63</v>
      </c>
      <c r="E3" s="77" t="s">
        <v>52</v>
      </c>
      <c r="F3" s="65">
        <v>14</v>
      </c>
      <c r="G3" s="65">
        <v>6</v>
      </c>
      <c r="H3" s="80">
        <f>0.7854*(F3/100)^2</f>
        <v>1.5393840000000002E-2</v>
      </c>
      <c r="I3" s="81">
        <f t="shared" si="0"/>
        <v>7.6969200000000002E-2</v>
      </c>
      <c r="J3" s="80">
        <f>(0.108337266+0.000046499*(F3^2*G3))</f>
        <v>0.16302009000000001</v>
      </c>
      <c r="K3" s="81">
        <f>J3/$N$3</f>
        <v>0.81510044999999998</v>
      </c>
      <c r="L3" s="81">
        <f>1*1/$N$3</f>
        <v>5</v>
      </c>
      <c r="M3" s="75">
        <v>2000</v>
      </c>
      <c r="N3" s="57">
        <f>M3/10000</f>
        <v>0.2</v>
      </c>
    </row>
    <row r="4" spans="1:15" x14ac:dyDescent="0.25">
      <c r="A4" s="77">
        <v>1</v>
      </c>
      <c r="B4" s="77">
        <v>3</v>
      </c>
      <c r="C4" s="78" t="s">
        <v>58</v>
      </c>
      <c r="D4" s="79" t="s">
        <v>64</v>
      </c>
      <c r="E4" s="77" t="s">
        <v>52</v>
      </c>
      <c r="F4" s="65">
        <v>14</v>
      </c>
      <c r="G4" s="65">
        <v>10</v>
      </c>
      <c r="H4" s="80">
        <f t="shared" ref="H4:H27" si="1">0.7854*(F4/100)^2</f>
        <v>1.5393840000000002E-2</v>
      </c>
      <c r="I4" s="81">
        <f t="shared" si="0"/>
        <v>7.6969200000000002E-2</v>
      </c>
      <c r="J4" s="80">
        <f t="shared" ref="J4:J15" si="2">(0.0050811768+0.0000286052*(F4^2*G4))</f>
        <v>6.114736879999999E-2</v>
      </c>
      <c r="K4" s="81">
        <f>J4/$N$3</f>
        <v>0.30573684399999995</v>
      </c>
      <c r="L4" s="81">
        <f>1*1/$N$3</f>
        <v>5</v>
      </c>
      <c r="M4" s="62"/>
    </row>
    <row r="5" spans="1:15" x14ac:dyDescent="0.25">
      <c r="A5" s="77">
        <v>1</v>
      </c>
      <c r="B5" s="77">
        <v>4</v>
      </c>
      <c r="C5" s="78" t="s">
        <v>58</v>
      </c>
      <c r="D5" s="79" t="s">
        <v>64</v>
      </c>
      <c r="E5" s="77" t="s">
        <v>53</v>
      </c>
      <c r="F5" s="65">
        <v>22</v>
      </c>
      <c r="G5" s="65">
        <v>14</v>
      </c>
      <c r="H5" s="80">
        <f t="shared" si="1"/>
        <v>3.8013359999999996E-2</v>
      </c>
      <c r="I5" s="81">
        <f t="shared" si="0"/>
        <v>0.19006679999999998</v>
      </c>
      <c r="J5" s="80">
        <f t="shared" si="2"/>
        <v>0.198910012</v>
      </c>
      <c r="K5" s="81">
        <f>J5/$N$3</f>
        <v>0.9945500599999999</v>
      </c>
      <c r="L5" s="81">
        <f>1*1/$N$3</f>
        <v>5</v>
      </c>
      <c r="M5" s="61"/>
    </row>
    <row r="6" spans="1:15" s="1" customFormat="1" x14ac:dyDescent="0.25">
      <c r="A6" s="77">
        <v>1</v>
      </c>
      <c r="B6" s="77">
        <v>5</v>
      </c>
      <c r="C6" s="78" t="s">
        <v>58</v>
      </c>
      <c r="D6" s="79" t="s">
        <v>64</v>
      </c>
      <c r="E6" s="77" t="s">
        <v>52</v>
      </c>
      <c r="F6" s="65">
        <v>10</v>
      </c>
      <c r="G6" s="65">
        <v>8</v>
      </c>
      <c r="H6" s="80">
        <f t="shared" si="1"/>
        <v>7.8540000000000016E-3</v>
      </c>
      <c r="I6" s="81">
        <f t="shared" si="0"/>
        <v>3.9270000000000006E-2</v>
      </c>
      <c r="J6" s="80">
        <f t="shared" si="2"/>
        <v>2.7965336799999997E-2</v>
      </c>
      <c r="K6" s="81">
        <f t="shared" ref="K6:K12" si="3">J6/$N$3</f>
        <v>0.13982668399999998</v>
      </c>
      <c r="L6" s="81">
        <f t="shared" ref="L6:L12" si="4">1*1/$N$3</f>
        <v>5</v>
      </c>
      <c r="M6" s="61"/>
    </row>
    <row r="7" spans="1:15" s="1" customFormat="1" x14ac:dyDescent="0.25">
      <c r="A7" s="77">
        <v>1</v>
      </c>
      <c r="B7" s="77">
        <v>6</v>
      </c>
      <c r="C7" s="78" t="s">
        <v>58</v>
      </c>
      <c r="D7" s="79" t="s">
        <v>64</v>
      </c>
      <c r="E7" s="77" t="s">
        <v>52</v>
      </c>
      <c r="F7" s="65">
        <v>14</v>
      </c>
      <c r="G7" s="65">
        <v>10</v>
      </c>
      <c r="H7" s="80">
        <f t="shared" si="1"/>
        <v>1.5393840000000002E-2</v>
      </c>
      <c r="I7" s="81">
        <f t="shared" si="0"/>
        <v>7.6969200000000002E-2</v>
      </c>
      <c r="J7" s="80">
        <f t="shared" si="2"/>
        <v>6.114736879999999E-2</v>
      </c>
      <c r="K7" s="81">
        <f t="shared" si="3"/>
        <v>0.30573684399999995</v>
      </c>
      <c r="L7" s="81">
        <f t="shared" si="4"/>
        <v>5</v>
      </c>
      <c r="M7" s="61"/>
    </row>
    <row r="8" spans="1:15" s="1" customFormat="1" x14ac:dyDescent="0.25">
      <c r="A8" s="77">
        <v>1</v>
      </c>
      <c r="B8" s="77">
        <v>7</v>
      </c>
      <c r="C8" s="78" t="s">
        <v>58</v>
      </c>
      <c r="D8" s="79" t="s">
        <v>64</v>
      </c>
      <c r="E8" s="77" t="s">
        <v>52</v>
      </c>
      <c r="F8" s="65">
        <v>13</v>
      </c>
      <c r="G8" s="65">
        <v>12</v>
      </c>
      <c r="H8" s="80">
        <f t="shared" si="1"/>
        <v>1.3273260000000002E-2</v>
      </c>
      <c r="I8" s="81">
        <f t="shared" si="0"/>
        <v>6.6366300000000003E-2</v>
      </c>
      <c r="J8" s="80">
        <f t="shared" si="2"/>
        <v>6.3092522400000003E-2</v>
      </c>
      <c r="K8" s="81">
        <f t="shared" si="3"/>
        <v>0.31546261199999998</v>
      </c>
      <c r="L8" s="81">
        <f t="shared" si="4"/>
        <v>5</v>
      </c>
      <c r="M8" s="61"/>
    </row>
    <row r="9" spans="1:15" s="1" customFormat="1" x14ac:dyDescent="0.25">
      <c r="A9" s="77">
        <v>1</v>
      </c>
      <c r="B9" s="77">
        <v>8</v>
      </c>
      <c r="C9" s="78" t="s">
        <v>58</v>
      </c>
      <c r="D9" s="79" t="s">
        <v>64</v>
      </c>
      <c r="E9" s="77" t="s">
        <v>52</v>
      </c>
      <c r="F9" s="65">
        <v>10</v>
      </c>
      <c r="G9" s="65">
        <v>10</v>
      </c>
      <c r="H9" s="80">
        <f t="shared" si="1"/>
        <v>7.8540000000000016E-3</v>
      </c>
      <c r="I9" s="81">
        <f t="shared" si="0"/>
        <v>3.9270000000000006E-2</v>
      </c>
      <c r="J9" s="80">
        <f t="shared" si="2"/>
        <v>3.3686376800000001E-2</v>
      </c>
      <c r="K9" s="81">
        <f t="shared" si="3"/>
        <v>0.168431884</v>
      </c>
      <c r="L9" s="81">
        <f t="shared" si="4"/>
        <v>5</v>
      </c>
      <c r="M9" s="61"/>
    </row>
    <row r="10" spans="1:15" x14ac:dyDescent="0.25">
      <c r="A10" s="77">
        <v>1</v>
      </c>
      <c r="B10" s="77">
        <v>9</v>
      </c>
      <c r="C10" s="78" t="s">
        <v>58</v>
      </c>
      <c r="D10" s="79" t="s">
        <v>64</v>
      </c>
      <c r="E10" s="77" t="s">
        <v>61</v>
      </c>
      <c r="F10" s="65">
        <v>35</v>
      </c>
      <c r="G10" s="65">
        <v>8</v>
      </c>
      <c r="H10" s="80">
        <f t="shared" si="1"/>
        <v>9.6211499999999991E-2</v>
      </c>
      <c r="I10" s="81">
        <f t="shared" si="0"/>
        <v>0.48105749999999992</v>
      </c>
      <c r="J10" s="80">
        <f t="shared" si="2"/>
        <v>0.28541213679999994</v>
      </c>
      <c r="K10" s="81">
        <f t="shared" si="3"/>
        <v>1.4270606839999995</v>
      </c>
      <c r="L10" s="81">
        <f t="shared" si="4"/>
        <v>5</v>
      </c>
      <c r="M10" s="61"/>
    </row>
    <row r="11" spans="1:15" s="1" customFormat="1" x14ac:dyDescent="0.25">
      <c r="A11" s="77">
        <v>1</v>
      </c>
      <c r="B11" s="77">
        <v>10</v>
      </c>
      <c r="C11" s="78" t="s">
        <v>58</v>
      </c>
      <c r="D11" s="79" t="s">
        <v>64</v>
      </c>
      <c r="E11" s="77" t="s">
        <v>61</v>
      </c>
      <c r="F11" s="65">
        <v>35</v>
      </c>
      <c r="G11" s="65">
        <v>12</v>
      </c>
      <c r="H11" s="80">
        <f t="shared" si="1"/>
        <v>9.6211499999999991E-2</v>
      </c>
      <c r="I11" s="81">
        <f t="shared" si="0"/>
        <v>0.48105749999999992</v>
      </c>
      <c r="J11" s="80">
        <f t="shared" si="2"/>
        <v>0.42557761679999995</v>
      </c>
      <c r="K11" s="81">
        <f t="shared" si="3"/>
        <v>2.1278880839999994</v>
      </c>
      <c r="L11" s="81">
        <f t="shared" si="4"/>
        <v>5</v>
      </c>
      <c r="M11" s="61"/>
    </row>
    <row r="12" spans="1:15" s="1" customFormat="1" x14ac:dyDescent="0.25">
      <c r="A12" s="77">
        <v>1</v>
      </c>
      <c r="B12" s="77">
        <v>11</v>
      </c>
      <c r="C12" s="78" t="s">
        <v>58</v>
      </c>
      <c r="D12" s="79" t="s">
        <v>64</v>
      </c>
      <c r="E12" s="77" t="s">
        <v>61</v>
      </c>
      <c r="F12" s="65">
        <v>36</v>
      </c>
      <c r="G12" s="65">
        <v>10</v>
      </c>
      <c r="H12" s="80">
        <f t="shared" si="1"/>
        <v>0.10178783999999999</v>
      </c>
      <c r="I12" s="81">
        <f t="shared" si="0"/>
        <v>0.50893919999999992</v>
      </c>
      <c r="J12" s="80">
        <f t="shared" si="2"/>
        <v>0.37580456879999996</v>
      </c>
      <c r="K12" s="81">
        <f t="shared" si="3"/>
        <v>1.8790228439999996</v>
      </c>
      <c r="L12" s="81">
        <f t="shared" si="4"/>
        <v>5</v>
      </c>
      <c r="M12" s="61"/>
    </row>
    <row r="13" spans="1:15" x14ac:dyDescent="0.25">
      <c r="A13" s="77">
        <v>1</v>
      </c>
      <c r="B13" s="77">
        <v>12</v>
      </c>
      <c r="C13" s="78" t="s">
        <v>58</v>
      </c>
      <c r="D13" s="79" t="s">
        <v>64</v>
      </c>
      <c r="E13" s="77" t="s">
        <v>53</v>
      </c>
      <c r="F13" s="65">
        <v>28</v>
      </c>
      <c r="G13" s="65">
        <v>13</v>
      </c>
      <c r="H13" s="80">
        <f t="shared" si="1"/>
        <v>6.157536000000001E-2</v>
      </c>
      <c r="I13" s="81">
        <f t="shared" si="0"/>
        <v>0.30787680000000001</v>
      </c>
      <c r="J13" s="80">
        <f t="shared" si="2"/>
        <v>0.29662537519999999</v>
      </c>
      <c r="K13" s="81">
        <f t="shared" ref="K13:K27" si="5">J13/$N$3</f>
        <v>1.4831268759999998</v>
      </c>
      <c r="L13" s="81">
        <f>1*1/$N$3</f>
        <v>5</v>
      </c>
      <c r="M13" s="61"/>
    </row>
    <row r="14" spans="1:15" s="1" customFormat="1" x14ac:dyDescent="0.25">
      <c r="A14" s="77">
        <v>1</v>
      </c>
      <c r="B14" s="77">
        <v>13</v>
      </c>
      <c r="C14" s="78" t="s">
        <v>58</v>
      </c>
      <c r="D14" s="79" t="s">
        <v>64</v>
      </c>
      <c r="E14" s="77" t="s">
        <v>53</v>
      </c>
      <c r="F14" s="65">
        <v>13</v>
      </c>
      <c r="G14" s="65">
        <v>12</v>
      </c>
      <c r="H14" s="80">
        <f t="shared" si="1"/>
        <v>1.3273260000000002E-2</v>
      </c>
      <c r="I14" s="81">
        <f t="shared" si="0"/>
        <v>6.6366300000000003E-2</v>
      </c>
      <c r="J14" s="80">
        <f t="shared" si="2"/>
        <v>6.3092522400000003E-2</v>
      </c>
      <c r="K14" s="81">
        <f t="shared" si="5"/>
        <v>0.31546261199999998</v>
      </c>
      <c r="L14" s="81">
        <f t="shared" ref="L14:L15" si="6">1*1/$N$3</f>
        <v>5</v>
      </c>
      <c r="M14" s="61"/>
    </row>
    <row r="15" spans="1:15" s="1" customFormat="1" x14ac:dyDescent="0.25">
      <c r="A15" s="77">
        <v>1</v>
      </c>
      <c r="B15" s="77">
        <v>14</v>
      </c>
      <c r="C15" s="78" t="s">
        <v>58</v>
      </c>
      <c r="D15" s="79" t="s">
        <v>64</v>
      </c>
      <c r="E15" s="77" t="s">
        <v>53</v>
      </c>
      <c r="F15" s="65">
        <v>14</v>
      </c>
      <c r="G15" s="65">
        <v>11</v>
      </c>
      <c r="H15" s="80">
        <f t="shared" si="1"/>
        <v>1.5393840000000002E-2</v>
      </c>
      <c r="I15" s="81">
        <f t="shared" si="0"/>
        <v>7.6969200000000002E-2</v>
      </c>
      <c r="J15" s="80">
        <f t="shared" si="2"/>
        <v>6.6753988E-2</v>
      </c>
      <c r="K15" s="81">
        <f t="shared" si="5"/>
        <v>0.33376993999999999</v>
      </c>
      <c r="L15" s="81">
        <f t="shared" si="6"/>
        <v>5</v>
      </c>
      <c r="M15" s="61"/>
    </row>
    <row r="16" spans="1:15" x14ac:dyDescent="0.25">
      <c r="A16" s="77">
        <v>1</v>
      </c>
      <c r="B16" s="77">
        <v>15</v>
      </c>
      <c r="C16" s="78" t="s">
        <v>57</v>
      </c>
      <c r="D16" s="82" t="s">
        <v>63</v>
      </c>
      <c r="E16" s="77" t="s">
        <v>53</v>
      </c>
      <c r="F16" s="65">
        <v>26</v>
      </c>
      <c r="G16" s="65">
        <v>15</v>
      </c>
      <c r="H16" s="80">
        <f t="shared" si="1"/>
        <v>5.3093040000000008E-2</v>
      </c>
      <c r="I16" s="81">
        <f t="shared" si="0"/>
        <v>0.26546520000000001</v>
      </c>
      <c r="J16" s="80">
        <f>(0.108337266+0.000046499*(F16^2*G16))</f>
        <v>0.57983712600000004</v>
      </c>
      <c r="K16" s="81">
        <f t="shared" si="5"/>
        <v>2.8991856299999998</v>
      </c>
      <c r="L16" s="81">
        <f t="shared" ref="L16:L27" si="7">1*1/$N$3</f>
        <v>5</v>
      </c>
      <c r="M16" s="1"/>
      <c r="N16" s="1"/>
      <c r="O16" s="1"/>
    </row>
    <row r="17" spans="1:15" x14ac:dyDescent="0.25">
      <c r="A17" s="77">
        <v>1</v>
      </c>
      <c r="B17" s="77">
        <v>16</v>
      </c>
      <c r="C17" s="78" t="s">
        <v>58</v>
      </c>
      <c r="D17" s="79" t="s">
        <v>64</v>
      </c>
      <c r="E17" s="77" t="s">
        <v>61</v>
      </c>
      <c r="F17" s="65">
        <v>30</v>
      </c>
      <c r="G17" s="65">
        <v>15.3</v>
      </c>
      <c r="H17" s="80">
        <f t="shared" si="1"/>
        <v>7.0685999999999999E-2</v>
      </c>
      <c r="I17" s="81">
        <f t="shared" si="0"/>
        <v>0.35342999999999997</v>
      </c>
      <c r="J17" s="80">
        <f>(0.0050811768+0.0000286052*(F17^2*G17))</f>
        <v>0.39897478079999993</v>
      </c>
      <c r="K17" s="81">
        <f t="shared" si="5"/>
        <v>1.9948739039999996</v>
      </c>
      <c r="L17" s="81">
        <f t="shared" si="7"/>
        <v>5</v>
      </c>
      <c r="M17" s="1"/>
      <c r="O17" s="1"/>
    </row>
    <row r="18" spans="1:15" x14ac:dyDescent="0.25">
      <c r="A18" s="77">
        <v>2</v>
      </c>
      <c r="B18" s="77">
        <v>1</v>
      </c>
      <c r="C18" s="78" t="s">
        <v>57</v>
      </c>
      <c r="D18" s="82" t="s">
        <v>63</v>
      </c>
      <c r="E18" s="77" t="s">
        <v>52</v>
      </c>
      <c r="F18" s="65">
        <v>12</v>
      </c>
      <c r="G18" s="65">
        <v>10</v>
      </c>
      <c r="H18" s="80">
        <f t="shared" si="1"/>
        <v>1.130976E-2</v>
      </c>
      <c r="I18" s="81">
        <f t="shared" si="0"/>
        <v>5.6548799999999996E-2</v>
      </c>
      <c r="J18" s="80">
        <f>(0.108337266+0.000046499*(F18^2*G18))</f>
        <v>0.17529582599999999</v>
      </c>
      <c r="K18" s="81">
        <f t="shared" si="5"/>
        <v>0.87647912999999988</v>
      </c>
      <c r="L18" s="81">
        <f t="shared" si="7"/>
        <v>5</v>
      </c>
      <c r="M18" s="62"/>
    </row>
    <row r="19" spans="1:15" x14ac:dyDescent="0.25">
      <c r="A19" s="77">
        <v>2</v>
      </c>
      <c r="B19" s="77">
        <v>2</v>
      </c>
      <c r="C19" s="78" t="s">
        <v>58</v>
      </c>
      <c r="D19" s="79" t="s">
        <v>64</v>
      </c>
      <c r="E19" s="77" t="s">
        <v>61</v>
      </c>
      <c r="F19" s="65">
        <v>30</v>
      </c>
      <c r="G19" s="65">
        <v>17</v>
      </c>
      <c r="H19" s="80">
        <f t="shared" si="1"/>
        <v>7.0685999999999999E-2</v>
      </c>
      <c r="I19" s="81">
        <f t="shared" si="0"/>
        <v>0.35342999999999997</v>
      </c>
      <c r="J19" s="80">
        <f t="shared" ref="J19:J20" si="8">(0.0050811768+0.0000286052*(F19^2*G19))</f>
        <v>0.44274073679999998</v>
      </c>
      <c r="K19" s="81">
        <f t="shared" si="5"/>
        <v>2.2137036839999999</v>
      </c>
      <c r="L19" s="81">
        <f t="shared" si="7"/>
        <v>5</v>
      </c>
      <c r="M19" s="63"/>
      <c r="N19" s="60"/>
    </row>
    <row r="20" spans="1:15" x14ac:dyDescent="0.25">
      <c r="A20" s="77">
        <v>2</v>
      </c>
      <c r="B20" s="77">
        <v>3</v>
      </c>
      <c r="C20" s="78" t="s">
        <v>58</v>
      </c>
      <c r="D20" s="79" t="s">
        <v>64</v>
      </c>
      <c r="E20" s="77" t="s">
        <v>53</v>
      </c>
      <c r="F20" s="65">
        <v>23</v>
      </c>
      <c r="G20" s="65">
        <v>16</v>
      </c>
      <c r="H20" s="80">
        <f t="shared" si="1"/>
        <v>4.154766E-2</v>
      </c>
      <c r="I20" s="81">
        <f t="shared" si="0"/>
        <v>0.20773829999999999</v>
      </c>
      <c r="J20" s="80">
        <f t="shared" si="8"/>
        <v>0.24719558959999999</v>
      </c>
      <c r="K20" s="81">
        <f t="shared" si="5"/>
        <v>1.2359779479999999</v>
      </c>
      <c r="L20" s="81">
        <f t="shared" si="7"/>
        <v>5</v>
      </c>
      <c r="M20" s="63"/>
      <c r="N20" s="60"/>
    </row>
    <row r="21" spans="1:15" x14ac:dyDescent="0.25">
      <c r="A21" s="77">
        <v>2</v>
      </c>
      <c r="B21" s="77">
        <v>4</v>
      </c>
      <c r="C21" s="78" t="s">
        <v>57</v>
      </c>
      <c r="D21" s="82" t="s">
        <v>63</v>
      </c>
      <c r="E21" s="77" t="s">
        <v>53</v>
      </c>
      <c r="F21" s="65">
        <v>21</v>
      </c>
      <c r="G21" s="65">
        <v>10</v>
      </c>
      <c r="H21" s="80">
        <f t="shared" si="1"/>
        <v>3.4636139999999996E-2</v>
      </c>
      <c r="I21" s="81">
        <f t="shared" si="0"/>
        <v>0.17318069999999997</v>
      </c>
      <c r="J21" s="80">
        <f>(0.108337266+0.000046499*(F21^2*G21))</f>
        <v>0.31339785600000003</v>
      </c>
      <c r="K21" s="81">
        <f t="shared" si="5"/>
        <v>1.56698928</v>
      </c>
      <c r="L21" s="81">
        <f t="shared" si="7"/>
        <v>5</v>
      </c>
      <c r="M21" s="64"/>
      <c r="N21" s="60"/>
    </row>
    <row r="22" spans="1:15" x14ac:dyDescent="0.25">
      <c r="A22" s="77">
        <v>2</v>
      </c>
      <c r="B22" s="77">
        <v>5</v>
      </c>
      <c r="C22" s="78" t="s">
        <v>58</v>
      </c>
      <c r="D22" s="79" t="s">
        <v>64</v>
      </c>
      <c r="E22" s="77" t="s">
        <v>52</v>
      </c>
      <c r="F22" s="65">
        <v>14</v>
      </c>
      <c r="G22" s="65">
        <v>12</v>
      </c>
      <c r="H22" s="80">
        <f t="shared" si="1"/>
        <v>1.5393840000000002E-2</v>
      </c>
      <c r="I22" s="81">
        <f t="shared" si="0"/>
        <v>7.6969200000000002E-2</v>
      </c>
      <c r="J22" s="80">
        <f t="shared" ref="J22:J27" si="9">(0.0050811768+0.0000286052*(F22^2*G22))</f>
        <v>7.2360607199999996E-2</v>
      </c>
      <c r="K22" s="81">
        <f t="shared" si="5"/>
        <v>0.36180303599999997</v>
      </c>
      <c r="L22" s="81">
        <f t="shared" si="7"/>
        <v>5</v>
      </c>
      <c r="M22" s="63"/>
      <c r="N22" s="60"/>
    </row>
    <row r="23" spans="1:15" x14ac:dyDescent="0.25">
      <c r="A23" s="77">
        <v>2</v>
      </c>
      <c r="B23" s="77">
        <v>6</v>
      </c>
      <c r="C23" s="78" t="s">
        <v>58</v>
      </c>
      <c r="D23" s="79" t="s">
        <v>64</v>
      </c>
      <c r="E23" s="77" t="s">
        <v>61</v>
      </c>
      <c r="F23" s="65">
        <v>32</v>
      </c>
      <c r="G23" s="65">
        <v>20</v>
      </c>
      <c r="H23" s="80">
        <f t="shared" si="1"/>
        <v>8.0424960000000004E-2</v>
      </c>
      <c r="I23" s="81">
        <f t="shared" si="0"/>
        <v>0.4021248</v>
      </c>
      <c r="J23" s="80">
        <f t="shared" si="9"/>
        <v>0.5909156727999999</v>
      </c>
      <c r="K23" s="81">
        <f t="shared" si="5"/>
        <v>2.9545783639999992</v>
      </c>
      <c r="L23" s="81">
        <f t="shared" si="7"/>
        <v>5</v>
      </c>
      <c r="M23" s="64"/>
      <c r="N23" s="60"/>
    </row>
    <row r="24" spans="1:15" x14ac:dyDescent="0.25">
      <c r="A24" s="77">
        <v>2</v>
      </c>
      <c r="B24" s="77">
        <v>7</v>
      </c>
      <c r="C24" s="78" t="s">
        <v>58</v>
      </c>
      <c r="D24" s="79" t="s">
        <v>64</v>
      </c>
      <c r="E24" s="77" t="s">
        <v>61</v>
      </c>
      <c r="F24" s="65">
        <v>30</v>
      </c>
      <c r="G24" s="65">
        <v>17</v>
      </c>
      <c r="H24" s="80">
        <f t="shared" si="1"/>
        <v>7.0685999999999999E-2</v>
      </c>
      <c r="I24" s="81">
        <f t="shared" si="0"/>
        <v>0.35342999999999997</v>
      </c>
      <c r="J24" s="80">
        <f t="shared" si="9"/>
        <v>0.44274073679999998</v>
      </c>
      <c r="K24" s="81">
        <f t="shared" si="5"/>
        <v>2.2137036839999999</v>
      </c>
      <c r="L24" s="81">
        <f t="shared" si="7"/>
        <v>5</v>
      </c>
      <c r="M24" s="64"/>
      <c r="N24" s="60"/>
    </row>
    <row r="25" spans="1:15" x14ac:dyDescent="0.25">
      <c r="A25" s="77">
        <v>2</v>
      </c>
      <c r="B25" s="77">
        <v>8</v>
      </c>
      <c r="C25" s="78" t="s">
        <v>58</v>
      </c>
      <c r="D25" s="79" t="s">
        <v>64</v>
      </c>
      <c r="E25" s="77" t="s">
        <v>53</v>
      </c>
      <c r="F25" s="65">
        <v>25</v>
      </c>
      <c r="G25" s="65">
        <v>18</v>
      </c>
      <c r="H25" s="80">
        <f t="shared" si="1"/>
        <v>4.9087499999999999E-2</v>
      </c>
      <c r="I25" s="81">
        <f t="shared" si="0"/>
        <v>0.24543749999999998</v>
      </c>
      <c r="J25" s="80">
        <f t="shared" si="9"/>
        <v>0.32688967679999997</v>
      </c>
      <c r="K25" s="81">
        <f t="shared" si="5"/>
        <v>1.6344483839999997</v>
      </c>
      <c r="L25" s="81">
        <f t="shared" si="7"/>
        <v>5</v>
      </c>
      <c r="M25" s="64"/>
      <c r="N25" s="60"/>
    </row>
    <row r="26" spans="1:15" x14ac:dyDescent="0.25">
      <c r="A26" s="77">
        <v>2</v>
      </c>
      <c r="B26" s="77">
        <v>9</v>
      </c>
      <c r="C26" s="78" t="s">
        <v>58</v>
      </c>
      <c r="D26" s="79" t="s">
        <v>64</v>
      </c>
      <c r="E26" s="77" t="s">
        <v>61</v>
      </c>
      <c r="F26" s="65">
        <v>34</v>
      </c>
      <c r="G26" s="65">
        <v>22</v>
      </c>
      <c r="H26" s="80">
        <f t="shared" si="1"/>
        <v>9.079224000000001E-2</v>
      </c>
      <c r="I26" s="81">
        <f t="shared" si="0"/>
        <v>0.45396120000000001</v>
      </c>
      <c r="J26" s="80">
        <f t="shared" si="9"/>
        <v>0.73256862319999994</v>
      </c>
      <c r="K26" s="81">
        <f t="shared" si="5"/>
        <v>3.6628431159999995</v>
      </c>
      <c r="L26" s="81">
        <f t="shared" si="7"/>
        <v>5</v>
      </c>
      <c r="M26" s="64"/>
      <c r="N26" s="60"/>
    </row>
    <row r="27" spans="1:15" x14ac:dyDescent="0.25">
      <c r="A27" s="77">
        <v>2</v>
      </c>
      <c r="B27" s="77">
        <v>10</v>
      </c>
      <c r="C27" s="78" t="s">
        <v>58</v>
      </c>
      <c r="D27" s="79" t="s">
        <v>64</v>
      </c>
      <c r="E27" s="77" t="s">
        <v>52</v>
      </c>
      <c r="F27" s="65">
        <v>17</v>
      </c>
      <c r="G27" s="65">
        <v>16</v>
      </c>
      <c r="H27" s="80">
        <f t="shared" si="1"/>
        <v>2.2698060000000003E-2</v>
      </c>
      <c r="I27" s="81">
        <f t="shared" si="0"/>
        <v>0.1134903</v>
      </c>
      <c r="J27" s="80">
        <f t="shared" si="9"/>
        <v>0.1373516216</v>
      </c>
      <c r="K27" s="81">
        <f t="shared" si="5"/>
        <v>0.68675810799999992</v>
      </c>
      <c r="L27" s="81">
        <f t="shared" si="7"/>
        <v>5</v>
      </c>
      <c r="M27" s="61"/>
      <c r="N27" s="58"/>
    </row>
    <row r="28" spans="1:15" x14ac:dyDescent="0.25">
      <c r="A28" s="77">
        <v>3</v>
      </c>
      <c r="B28" s="77">
        <v>1</v>
      </c>
      <c r="C28" s="78" t="s">
        <v>62</v>
      </c>
      <c r="D28" s="77" t="s">
        <v>56</v>
      </c>
      <c r="E28" s="77" t="s">
        <v>53</v>
      </c>
      <c r="F28" s="65">
        <v>26</v>
      </c>
      <c r="G28" s="65">
        <v>17</v>
      </c>
      <c r="H28" s="80">
        <f t="shared" ref="H28:H42" si="10">0.7854*(F28/100)^2</f>
        <v>5.3093040000000008E-2</v>
      </c>
      <c r="I28" s="81">
        <f t="shared" ref="I28:I56" si="11">H28*1/$N$3</f>
        <v>0.26546520000000001</v>
      </c>
      <c r="J28" s="80">
        <f>(0.0134651922+0.0000289134*(F28^2*G28))</f>
        <v>0.34573798499999997</v>
      </c>
      <c r="K28" s="81">
        <f t="shared" ref="K28:K56" si="12">J28/$N$3</f>
        <v>1.7286899249999998</v>
      </c>
      <c r="L28" s="81">
        <f t="shared" ref="L28:L56" si="13">1*1/$N$3</f>
        <v>5</v>
      </c>
      <c r="M28" s="62"/>
    </row>
    <row r="29" spans="1:15" x14ac:dyDescent="0.25">
      <c r="A29" s="77">
        <v>3</v>
      </c>
      <c r="B29" s="83">
        <v>2</v>
      </c>
      <c r="C29" s="78" t="s">
        <v>62</v>
      </c>
      <c r="D29" s="77" t="s">
        <v>56</v>
      </c>
      <c r="E29" s="83" t="s">
        <v>52</v>
      </c>
      <c r="F29" s="65">
        <v>17</v>
      </c>
      <c r="G29" s="65">
        <v>17</v>
      </c>
      <c r="H29" s="80">
        <f t="shared" si="10"/>
        <v>2.2698060000000003E-2</v>
      </c>
      <c r="I29" s="81">
        <f t="shared" si="11"/>
        <v>0.1134903</v>
      </c>
      <c r="J29" s="80">
        <f t="shared" ref="J29:J33" si="14">(0.0134651922+0.0000289134*(F29^2*G29))</f>
        <v>0.1555167264</v>
      </c>
      <c r="K29" s="81">
        <f t="shared" si="12"/>
        <v>0.77758363199999991</v>
      </c>
      <c r="L29" s="81">
        <f t="shared" si="13"/>
        <v>5</v>
      </c>
    </row>
    <row r="30" spans="1:15" x14ac:dyDescent="0.25">
      <c r="A30" s="77">
        <v>3</v>
      </c>
      <c r="B30" s="83">
        <v>3</v>
      </c>
      <c r="C30" s="78" t="s">
        <v>62</v>
      </c>
      <c r="D30" s="77" t="s">
        <v>56</v>
      </c>
      <c r="E30" s="83" t="s">
        <v>52</v>
      </c>
      <c r="F30" s="65">
        <v>19</v>
      </c>
      <c r="G30" s="65">
        <v>16</v>
      </c>
      <c r="H30" s="80">
        <f t="shared" si="10"/>
        <v>2.835294E-2</v>
      </c>
      <c r="I30" s="81">
        <f t="shared" si="11"/>
        <v>0.14176469999999999</v>
      </c>
      <c r="J30" s="80">
        <f t="shared" si="14"/>
        <v>0.18046899059999999</v>
      </c>
      <c r="K30" s="81">
        <f t="shared" si="12"/>
        <v>0.90234495299999995</v>
      </c>
      <c r="L30" s="81">
        <f t="shared" si="13"/>
        <v>5</v>
      </c>
    </row>
    <row r="31" spans="1:15" x14ac:dyDescent="0.25">
      <c r="A31" s="77">
        <v>3</v>
      </c>
      <c r="B31" s="77">
        <v>4</v>
      </c>
      <c r="C31" s="78" t="s">
        <v>62</v>
      </c>
      <c r="D31" s="77" t="s">
        <v>56</v>
      </c>
      <c r="E31" s="83" t="s">
        <v>52</v>
      </c>
      <c r="F31" s="65">
        <v>16</v>
      </c>
      <c r="G31" s="65">
        <v>16</v>
      </c>
      <c r="H31" s="80">
        <f t="shared" si="10"/>
        <v>2.0106240000000001E-2</v>
      </c>
      <c r="I31" s="81">
        <f t="shared" si="11"/>
        <v>0.1005312</v>
      </c>
      <c r="J31" s="80">
        <f t="shared" si="14"/>
        <v>0.1318944786</v>
      </c>
      <c r="K31" s="81">
        <f t="shared" si="12"/>
        <v>0.65947239299999993</v>
      </c>
      <c r="L31" s="81">
        <f t="shared" si="13"/>
        <v>5</v>
      </c>
    </row>
    <row r="32" spans="1:15" x14ac:dyDescent="0.25">
      <c r="A32" s="77">
        <v>3</v>
      </c>
      <c r="B32" s="83">
        <v>5</v>
      </c>
      <c r="C32" s="78" t="s">
        <v>62</v>
      </c>
      <c r="D32" s="77" t="s">
        <v>56</v>
      </c>
      <c r="E32" s="83" t="s">
        <v>52</v>
      </c>
      <c r="F32" s="65">
        <v>19</v>
      </c>
      <c r="G32" s="65">
        <v>17</v>
      </c>
      <c r="H32" s="80">
        <f t="shared" si="10"/>
        <v>2.835294E-2</v>
      </c>
      <c r="I32" s="81">
        <f t="shared" si="11"/>
        <v>0.14176469999999999</v>
      </c>
      <c r="J32" s="80">
        <f t="shared" si="14"/>
        <v>0.190906728</v>
      </c>
      <c r="K32" s="81">
        <f t="shared" si="12"/>
        <v>0.95453363999999996</v>
      </c>
      <c r="L32" s="81">
        <f t="shared" si="13"/>
        <v>5</v>
      </c>
    </row>
    <row r="33" spans="1:13" x14ac:dyDescent="0.25">
      <c r="A33" s="77">
        <v>3</v>
      </c>
      <c r="B33" s="83">
        <v>6</v>
      </c>
      <c r="C33" s="78" t="s">
        <v>62</v>
      </c>
      <c r="D33" s="77" t="s">
        <v>56</v>
      </c>
      <c r="E33" s="83" t="s">
        <v>52</v>
      </c>
      <c r="F33" s="65">
        <v>17</v>
      </c>
      <c r="G33" s="65">
        <v>15</v>
      </c>
      <c r="H33" s="80">
        <f t="shared" si="10"/>
        <v>2.2698060000000003E-2</v>
      </c>
      <c r="I33" s="81">
        <f t="shared" si="11"/>
        <v>0.1134903</v>
      </c>
      <c r="J33" s="80">
        <f t="shared" si="14"/>
        <v>0.1388047812</v>
      </c>
      <c r="K33" s="81">
        <f t="shared" si="12"/>
        <v>0.69402390599999997</v>
      </c>
      <c r="L33" s="81">
        <f t="shared" si="13"/>
        <v>5</v>
      </c>
    </row>
    <row r="34" spans="1:13" x14ac:dyDescent="0.25">
      <c r="A34" s="77">
        <v>3</v>
      </c>
      <c r="B34" s="77">
        <v>7</v>
      </c>
      <c r="C34" s="78" t="s">
        <v>57</v>
      </c>
      <c r="D34" s="82" t="s">
        <v>63</v>
      </c>
      <c r="E34" s="83" t="s">
        <v>52</v>
      </c>
      <c r="F34" s="65">
        <v>14</v>
      </c>
      <c r="G34" s="65">
        <v>10</v>
      </c>
      <c r="H34" s="80">
        <f t="shared" si="10"/>
        <v>1.5393840000000002E-2</v>
      </c>
      <c r="I34" s="81">
        <f t="shared" si="11"/>
        <v>7.6969200000000002E-2</v>
      </c>
      <c r="J34" s="80">
        <f t="shared" ref="J34" si="15">(0.108337266+0.000046499*(F34^2*G34))</f>
        <v>0.19947530600000002</v>
      </c>
      <c r="K34" s="81">
        <f t="shared" si="12"/>
        <v>0.99737653000000004</v>
      </c>
      <c r="L34" s="81">
        <f t="shared" si="13"/>
        <v>5</v>
      </c>
    </row>
    <row r="35" spans="1:13" x14ac:dyDescent="0.25">
      <c r="A35" s="77">
        <v>3</v>
      </c>
      <c r="B35" s="83">
        <v>8</v>
      </c>
      <c r="C35" s="78" t="s">
        <v>58</v>
      </c>
      <c r="D35" s="79" t="s">
        <v>64</v>
      </c>
      <c r="E35" s="83" t="s">
        <v>52</v>
      </c>
      <c r="F35" s="65">
        <v>19</v>
      </c>
      <c r="G35" s="65">
        <v>15</v>
      </c>
      <c r="H35" s="80">
        <f t="shared" si="10"/>
        <v>2.835294E-2</v>
      </c>
      <c r="I35" s="81">
        <f t="shared" si="11"/>
        <v>0.14176469999999999</v>
      </c>
      <c r="J35" s="80">
        <f>(0.0050811768+0.0000286052*(F35^2*G35))</f>
        <v>0.15997833479999998</v>
      </c>
      <c r="K35" s="81">
        <f t="shared" si="12"/>
        <v>0.79989167399999983</v>
      </c>
      <c r="L35" s="81">
        <f t="shared" si="13"/>
        <v>5</v>
      </c>
    </row>
    <row r="36" spans="1:13" x14ac:dyDescent="0.25">
      <c r="A36" s="77">
        <v>3</v>
      </c>
      <c r="B36" s="83">
        <v>9</v>
      </c>
      <c r="C36" s="78" t="s">
        <v>62</v>
      </c>
      <c r="D36" s="77" t="s">
        <v>56</v>
      </c>
      <c r="E36" s="83" t="s">
        <v>52</v>
      </c>
      <c r="F36" s="65">
        <v>18</v>
      </c>
      <c r="G36" s="65">
        <v>14</v>
      </c>
      <c r="H36" s="80">
        <f t="shared" si="10"/>
        <v>2.5446959999999998E-2</v>
      </c>
      <c r="I36" s="81">
        <f t="shared" si="11"/>
        <v>0.12723479999999998</v>
      </c>
      <c r="J36" s="80">
        <f t="shared" ref="J36:J40" si="16">(0.0134651922+0.0000289134*(F36^2*G36))</f>
        <v>0.14461637460000001</v>
      </c>
      <c r="K36" s="81">
        <f t="shared" si="12"/>
        <v>0.72308187300000004</v>
      </c>
      <c r="L36" s="81">
        <f t="shared" si="13"/>
        <v>5</v>
      </c>
    </row>
    <row r="37" spans="1:13" s="1" customFormat="1" x14ac:dyDescent="0.25">
      <c r="A37" s="77">
        <v>3</v>
      </c>
      <c r="B37" s="77">
        <v>10</v>
      </c>
      <c r="C37" s="78" t="s">
        <v>62</v>
      </c>
      <c r="D37" s="77" t="s">
        <v>56</v>
      </c>
      <c r="E37" s="83" t="s">
        <v>53</v>
      </c>
      <c r="F37" s="65">
        <v>26</v>
      </c>
      <c r="G37" s="65">
        <v>18</v>
      </c>
      <c r="H37" s="80">
        <f t="shared" ref="H37" si="17">0.7854*(F37/100)^2</f>
        <v>5.3093040000000008E-2</v>
      </c>
      <c r="I37" s="81">
        <f t="shared" si="11"/>
        <v>0.26546520000000001</v>
      </c>
      <c r="J37" s="80">
        <f t="shared" ref="J37" si="18">(0.0134651922+0.0000289134*(F37^2*G37))</f>
        <v>0.36528344339999996</v>
      </c>
      <c r="K37" s="81">
        <f t="shared" si="12"/>
        <v>1.8264172169999997</v>
      </c>
      <c r="L37" s="81">
        <f t="shared" si="13"/>
        <v>5</v>
      </c>
    </row>
    <row r="38" spans="1:13" x14ac:dyDescent="0.25">
      <c r="A38" s="77">
        <v>3</v>
      </c>
      <c r="B38" s="83">
        <v>11</v>
      </c>
      <c r="C38" s="78" t="s">
        <v>62</v>
      </c>
      <c r="D38" s="77" t="s">
        <v>56</v>
      </c>
      <c r="E38" s="83" t="s">
        <v>52</v>
      </c>
      <c r="F38" s="65">
        <v>19</v>
      </c>
      <c r="G38" s="65">
        <v>15</v>
      </c>
      <c r="H38" s="80">
        <f t="shared" si="10"/>
        <v>2.835294E-2</v>
      </c>
      <c r="I38" s="81">
        <f t="shared" si="11"/>
        <v>0.14176469999999999</v>
      </c>
      <c r="J38" s="80">
        <f t="shared" si="16"/>
        <v>0.17003125320000001</v>
      </c>
      <c r="K38" s="81">
        <f t="shared" si="12"/>
        <v>0.85015626600000005</v>
      </c>
      <c r="L38" s="81">
        <f t="shared" si="13"/>
        <v>5</v>
      </c>
    </row>
    <row r="39" spans="1:13" x14ac:dyDescent="0.25">
      <c r="A39" s="77">
        <v>3</v>
      </c>
      <c r="B39" s="83">
        <v>12</v>
      </c>
      <c r="C39" s="78" t="s">
        <v>62</v>
      </c>
      <c r="D39" s="77" t="s">
        <v>56</v>
      </c>
      <c r="E39" s="83" t="s">
        <v>52</v>
      </c>
      <c r="F39" s="65">
        <v>19.8</v>
      </c>
      <c r="G39" s="65">
        <v>15</v>
      </c>
      <c r="H39" s="80">
        <f t="shared" si="10"/>
        <v>3.0790821600000001E-2</v>
      </c>
      <c r="I39" s="81">
        <f t="shared" si="11"/>
        <v>0.15395410800000001</v>
      </c>
      <c r="J39" s="80">
        <f t="shared" si="16"/>
        <v>0.18349333224</v>
      </c>
      <c r="K39" s="81">
        <f t="shared" si="12"/>
        <v>0.91746666119999998</v>
      </c>
      <c r="L39" s="81">
        <f t="shared" si="13"/>
        <v>5</v>
      </c>
    </row>
    <row r="40" spans="1:13" x14ac:dyDescent="0.25">
      <c r="A40" s="77">
        <v>3</v>
      </c>
      <c r="B40" s="77">
        <v>13</v>
      </c>
      <c r="C40" s="78" t="s">
        <v>62</v>
      </c>
      <c r="D40" s="77" t="s">
        <v>56</v>
      </c>
      <c r="E40" s="83" t="s">
        <v>53</v>
      </c>
      <c r="F40" s="65">
        <v>28</v>
      </c>
      <c r="G40" s="65">
        <v>18</v>
      </c>
      <c r="H40" s="80">
        <f t="shared" si="10"/>
        <v>6.157536000000001E-2</v>
      </c>
      <c r="I40" s="81">
        <f t="shared" si="11"/>
        <v>0.30787680000000001</v>
      </c>
      <c r="J40" s="80">
        <f t="shared" si="16"/>
        <v>0.42149109299999998</v>
      </c>
      <c r="K40" s="81">
        <f t="shared" si="12"/>
        <v>2.1074554649999997</v>
      </c>
      <c r="L40" s="81">
        <f t="shared" si="13"/>
        <v>5</v>
      </c>
    </row>
    <row r="41" spans="1:13" x14ac:dyDescent="0.25">
      <c r="A41" s="77">
        <v>4</v>
      </c>
      <c r="B41" s="83">
        <v>1</v>
      </c>
      <c r="C41" s="78" t="s">
        <v>58</v>
      </c>
      <c r="D41" s="79" t="s">
        <v>64</v>
      </c>
      <c r="E41" s="83" t="s">
        <v>52</v>
      </c>
      <c r="F41" s="65">
        <v>17</v>
      </c>
      <c r="G41" s="65">
        <v>15</v>
      </c>
      <c r="H41" s="80">
        <f t="shared" si="10"/>
        <v>2.2698060000000003E-2</v>
      </c>
      <c r="I41" s="81">
        <f t="shared" si="11"/>
        <v>0.1134903</v>
      </c>
      <c r="J41" s="80">
        <f t="shared" ref="J41:J42" si="19">(0.0050811768+0.0000286052*(F41^2*G41))</f>
        <v>0.1290847188</v>
      </c>
      <c r="K41" s="81">
        <f t="shared" si="12"/>
        <v>0.64542359399999993</v>
      </c>
      <c r="L41" s="81">
        <f t="shared" si="13"/>
        <v>5</v>
      </c>
    </row>
    <row r="42" spans="1:13" x14ac:dyDescent="0.25">
      <c r="A42" s="77">
        <v>4</v>
      </c>
      <c r="B42" s="83">
        <v>2</v>
      </c>
      <c r="C42" s="78" t="s">
        <v>58</v>
      </c>
      <c r="D42" s="79" t="s">
        <v>64</v>
      </c>
      <c r="E42" s="83" t="s">
        <v>53</v>
      </c>
      <c r="F42" s="65">
        <v>20</v>
      </c>
      <c r="G42" s="65">
        <v>10</v>
      </c>
      <c r="H42" s="80">
        <f t="shared" si="10"/>
        <v>3.1416000000000006E-2</v>
      </c>
      <c r="I42" s="81">
        <f t="shared" si="11"/>
        <v>0.15708000000000003</v>
      </c>
      <c r="J42" s="80">
        <f t="shared" si="19"/>
        <v>0.11950197679999999</v>
      </c>
      <c r="K42" s="81">
        <f t="shared" si="12"/>
        <v>0.59750988399999994</v>
      </c>
      <c r="L42" s="81">
        <f t="shared" si="13"/>
        <v>5</v>
      </c>
    </row>
    <row r="43" spans="1:13" s="1" customFormat="1" x14ac:dyDescent="0.25">
      <c r="A43" s="77">
        <v>4</v>
      </c>
      <c r="B43" s="83">
        <v>3</v>
      </c>
      <c r="C43" s="78" t="s">
        <v>62</v>
      </c>
      <c r="D43" s="77" t="s">
        <v>56</v>
      </c>
      <c r="E43" s="77" t="s">
        <v>53</v>
      </c>
      <c r="F43" s="65">
        <v>25</v>
      </c>
      <c r="G43" s="65">
        <v>17</v>
      </c>
      <c r="H43" s="80">
        <f t="shared" ref="H43:H56" si="20">0.7854*(F43/100)^2</f>
        <v>4.9087499999999999E-2</v>
      </c>
      <c r="I43" s="81">
        <f t="shared" si="11"/>
        <v>0.24543749999999998</v>
      </c>
      <c r="J43" s="80">
        <f>(0.0134651922+0.0000289134*(F43^2*G43))</f>
        <v>0.32067006719999996</v>
      </c>
      <c r="K43" s="81">
        <f t="shared" si="12"/>
        <v>1.6033503359999997</v>
      </c>
      <c r="L43" s="81">
        <f t="shared" si="13"/>
        <v>5</v>
      </c>
      <c r="M43" s="62"/>
    </row>
    <row r="44" spans="1:13" s="1" customFormat="1" x14ac:dyDescent="0.25">
      <c r="A44" s="77">
        <v>4</v>
      </c>
      <c r="B44" s="83">
        <v>4</v>
      </c>
      <c r="C44" s="78" t="s">
        <v>62</v>
      </c>
      <c r="D44" s="77" t="s">
        <v>56</v>
      </c>
      <c r="E44" s="83" t="s">
        <v>52</v>
      </c>
      <c r="F44" s="65">
        <v>16</v>
      </c>
      <c r="G44" s="65">
        <v>16</v>
      </c>
      <c r="H44" s="80">
        <f t="shared" si="20"/>
        <v>2.0106240000000001E-2</v>
      </c>
      <c r="I44" s="81">
        <f t="shared" si="11"/>
        <v>0.1005312</v>
      </c>
      <c r="J44" s="80">
        <f t="shared" ref="J44:J48" si="21">(0.0134651922+0.0000289134*(F44^2*G44))</f>
        <v>0.1318944786</v>
      </c>
      <c r="K44" s="81">
        <f t="shared" si="12"/>
        <v>0.65947239299999993</v>
      </c>
      <c r="L44" s="81">
        <f t="shared" si="13"/>
        <v>5</v>
      </c>
    </row>
    <row r="45" spans="1:13" s="1" customFormat="1" x14ac:dyDescent="0.25">
      <c r="A45" s="77">
        <v>4</v>
      </c>
      <c r="B45" s="83">
        <v>5</v>
      </c>
      <c r="C45" s="78" t="s">
        <v>62</v>
      </c>
      <c r="D45" s="77" t="s">
        <v>56</v>
      </c>
      <c r="E45" s="83" t="s">
        <v>52</v>
      </c>
      <c r="F45" s="65">
        <v>19</v>
      </c>
      <c r="G45" s="65">
        <v>15</v>
      </c>
      <c r="H45" s="80">
        <f t="shared" si="20"/>
        <v>2.835294E-2</v>
      </c>
      <c r="I45" s="81">
        <f t="shared" si="11"/>
        <v>0.14176469999999999</v>
      </c>
      <c r="J45" s="80">
        <f t="shared" si="21"/>
        <v>0.17003125320000001</v>
      </c>
      <c r="K45" s="81">
        <f t="shared" si="12"/>
        <v>0.85015626600000005</v>
      </c>
      <c r="L45" s="81">
        <f t="shared" si="13"/>
        <v>5</v>
      </c>
    </row>
    <row r="46" spans="1:13" s="1" customFormat="1" x14ac:dyDescent="0.25">
      <c r="A46" s="77">
        <v>4</v>
      </c>
      <c r="B46" s="83">
        <v>6</v>
      </c>
      <c r="C46" s="78" t="s">
        <v>62</v>
      </c>
      <c r="D46" s="77" t="s">
        <v>56</v>
      </c>
      <c r="E46" s="83" t="s">
        <v>52</v>
      </c>
      <c r="F46" s="65">
        <v>15</v>
      </c>
      <c r="G46" s="65">
        <v>14</v>
      </c>
      <c r="H46" s="80">
        <f t="shared" si="20"/>
        <v>1.76715E-2</v>
      </c>
      <c r="I46" s="81">
        <f t="shared" si="11"/>
        <v>8.8357499999999992E-2</v>
      </c>
      <c r="J46" s="80">
        <f t="shared" si="21"/>
        <v>0.10454240220000001</v>
      </c>
      <c r="K46" s="81">
        <f t="shared" si="12"/>
        <v>0.52271201099999998</v>
      </c>
      <c r="L46" s="81">
        <f t="shared" si="13"/>
        <v>5</v>
      </c>
    </row>
    <row r="47" spans="1:13" s="1" customFormat="1" x14ac:dyDescent="0.25">
      <c r="A47" s="77">
        <v>4</v>
      </c>
      <c r="B47" s="83">
        <v>7</v>
      </c>
      <c r="C47" s="78" t="s">
        <v>62</v>
      </c>
      <c r="D47" s="77" t="s">
        <v>56</v>
      </c>
      <c r="E47" s="83" t="s">
        <v>52</v>
      </c>
      <c r="F47" s="65">
        <v>18</v>
      </c>
      <c r="G47" s="65">
        <v>17</v>
      </c>
      <c r="H47" s="80">
        <f t="shared" si="20"/>
        <v>2.5446959999999998E-2</v>
      </c>
      <c r="I47" s="81">
        <f t="shared" si="11"/>
        <v>0.12723479999999998</v>
      </c>
      <c r="J47" s="80">
        <f t="shared" si="21"/>
        <v>0.1727201994</v>
      </c>
      <c r="K47" s="81">
        <f t="shared" si="12"/>
        <v>0.86360099699999993</v>
      </c>
      <c r="L47" s="81">
        <f t="shared" si="13"/>
        <v>5</v>
      </c>
    </row>
    <row r="48" spans="1:13" s="1" customFormat="1" x14ac:dyDescent="0.25">
      <c r="A48" s="77">
        <v>4</v>
      </c>
      <c r="B48" s="83">
        <v>8</v>
      </c>
      <c r="C48" s="78" t="s">
        <v>62</v>
      </c>
      <c r="D48" s="77" t="s">
        <v>56</v>
      </c>
      <c r="E48" s="83" t="s">
        <v>52</v>
      </c>
      <c r="F48" s="65">
        <v>16</v>
      </c>
      <c r="G48" s="65">
        <v>15</v>
      </c>
      <c r="H48" s="80">
        <f t="shared" si="20"/>
        <v>2.0106240000000001E-2</v>
      </c>
      <c r="I48" s="81">
        <f t="shared" si="11"/>
        <v>0.1005312</v>
      </c>
      <c r="J48" s="80">
        <f t="shared" si="21"/>
        <v>0.1244926482</v>
      </c>
      <c r="K48" s="81">
        <f t="shared" si="12"/>
        <v>0.62246324099999994</v>
      </c>
      <c r="L48" s="81">
        <f t="shared" si="13"/>
        <v>5</v>
      </c>
    </row>
    <row r="49" spans="1:12" s="1" customFormat="1" x14ac:dyDescent="0.25">
      <c r="A49" s="77">
        <v>4</v>
      </c>
      <c r="B49" s="83">
        <v>9</v>
      </c>
      <c r="C49" s="78" t="s">
        <v>57</v>
      </c>
      <c r="D49" s="82" t="s">
        <v>63</v>
      </c>
      <c r="E49" s="83" t="s">
        <v>52</v>
      </c>
      <c r="F49" s="65">
        <v>11</v>
      </c>
      <c r="G49" s="65">
        <v>10</v>
      </c>
      <c r="H49" s="80">
        <f t="shared" si="20"/>
        <v>9.503339999999999E-3</v>
      </c>
      <c r="I49" s="81">
        <f t="shared" si="11"/>
        <v>4.7516699999999995E-2</v>
      </c>
      <c r="J49" s="80">
        <f t="shared" ref="J49" si="22">(0.108337266+0.000046499*(F49^2*G49))</f>
        <v>0.164601056</v>
      </c>
      <c r="K49" s="81">
        <f t="shared" si="12"/>
        <v>0.82300527999999995</v>
      </c>
      <c r="L49" s="81">
        <f t="shared" si="13"/>
        <v>5</v>
      </c>
    </row>
    <row r="50" spans="1:12" s="1" customFormat="1" x14ac:dyDescent="0.25">
      <c r="A50" s="77">
        <v>4</v>
      </c>
      <c r="B50" s="83">
        <v>10</v>
      </c>
      <c r="C50" s="78" t="s">
        <v>58</v>
      </c>
      <c r="D50" s="79" t="s">
        <v>64</v>
      </c>
      <c r="E50" s="83" t="s">
        <v>52</v>
      </c>
      <c r="F50" s="65">
        <v>19</v>
      </c>
      <c r="G50" s="65">
        <v>15</v>
      </c>
      <c r="H50" s="80">
        <f t="shared" si="20"/>
        <v>2.835294E-2</v>
      </c>
      <c r="I50" s="81">
        <f t="shared" si="11"/>
        <v>0.14176469999999999</v>
      </c>
      <c r="J50" s="80">
        <f>(0.0050811768+0.0000286052*(F50^2*G50))</f>
        <v>0.15997833479999998</v>
      </c>
      <c r="K50" s="81">
        <f t="shared" si="12"/>
        <v>0.79989167399999983</v>
      </c>
      <c r="L50" s="81">
        <f t="shared" si="13"/>
        <v>5</v>
      </c>
    </row>
    <row r="51" spans="1:12" s="1" customFormat="1" x14ac:dyDescent="0.25">
      <c r="A51" s="77">
        <v>4</v>
      </c>
      <c r="B51" s="83">
        <v>11</v>
      </c>
      <c r="C51" s="78" t="s">
        <v>62</v>
      </c>
      <c r="D51" s="77" t="s">
        <v>56</v>
      </c>
      <c r="E51" s="83" t="s">
        <v>52</v>
      </c>
      <c r="F51" s="65">
        <v>17</v>
      </c>
      <c r="G51" s="65">
        <v>14</v>
      </c>
      <c r="H51" s="80">
        <f t="shared" si="20"/>
        <v>2.2698060000000003E-2</v>
      </c>
      <c r="I51" s="81">
        <f t="shared" si="11"/>
        <v>0.1134903</v>
      </c>
      <c r="J51" s="80">
        <f t="shared" ref="J51:J53" si="23">(0.0134651922+0.0000289134*(F51^2*G51))</f>
        <v>0.13044880859999999</v>
      </c>
      <c r="K51" s="81">
        <f t="shared" si="12"/>
        <v>0.65224404299999994</v>
      </c>
      <c r="L51" s="81">
        <f t="shared" si="13"/>
        <v>5</v>
      </c>
    </row>
    <row r="52" spans="1:12" s="1" customFormat="1" x14ac:dyDescent="0.25">
      <c r="A52" s="77">
        <v>4</v>
      </c>
      <c r="B52" s="83">
        <v>12</v>
      </c>
      <c r="C52" s="78" t="s">
        <v>62</v>
      </c>
      <c r="D52" s="77" t="s">
        <v>56</v>
      </c>
      <c r="E52" s="83" t="s">
        <v>52</v>
      </c>
      <c r="F52" s="65">
        <v>19</v>
      </c>
      <c r="G52" s="65">
        <v>15</v>
      </c>
      <c r="H52" s="80">
        <f t="shared" si="20"/>
        <v>2.835294E-2</v>
      </c>
      <c r="I52" s="81">
        <f t="shared" si="11"/>
        <v>0.14176469999999999</v>
      </c>
      <c r="J52" s="80">
        <f t="shared" si="23"/>
        <v>0.17003125320000001</v>
      </c>
      <c r="K52" s="81">
        <f t="shared" si="12"/>
        <v>0.85015626600000005</v>
      </c>
      <c r="L52" s="81">
        <f t="shared" si="13"/>
        <v>5</v>
      </c>
    </row>
    <row r="53" spans="1:12" s="1" customFormat="1" x14ac:dyDescent="0.25">
      <c r="A53" s="77">
        <v>4</v>
      </c>
      <c r="B53" s="83">
        <v>13</v>
      </c>
      <c r="C53" s="78" t="s">
        <v>62</v>
      </c>
      <c r="D53" s="77" t="s">
        <v>56</v>
      </c>
      <c r="E53" s="83" t="s">
        <v>52</v>
      </c>
      <c r="F53" s="65">
        <v>19.8</v>
      </c>
      <c r="G53" s="65">
        <v>15</v>
      </c>
      <c r="H53" s="80">
        <f t="shared" si="20"/>
        <v>3.0790821600000001E-2</v>
      </c>
      <c r="I53" s="81">
        <f t="shared" si="11"/>
        <v>0.15395410800000001</v>
      </c>
      <c r="J53" s="80">
        <f t="shared" si="23"/>
        <v>0.18349333224</v>
      </c>
      <c r="K53" s="81">
        <f t="shared" si="12"/>
        <v>0.91746666119999998</v>
      </c>
      <c r="L53" s="81">
        <f t="shared" si="13"/>
        <v>5</v>
      </c>
    </row>
    <row r="54" spans="1:12" s="1" customFormat="1" x14ac:dyDescent="0.25">
      <c r="A54" s="77">
        <v>4</v>
      </c>
      <c r="B54" s="83">
        <v>14</v>
      </c>
      <c r="C54" s="78" t="s">
        <v>58</v>
      </c>
      <c r="D54" s="79" t="s">
        <v>64</v>
      </c>
      <c r="E54" s="83" t="s">
        <v>53</v>
      </c>
      <c r="F54" s="65">
        <v>22</v>
      </c>
      <c r="G54" s="65">
        <v>14</v>
      </c>
      <c r="H54" s="80">
        <f t="shared" si="20"/>
        <v>3.8013359999999996E-2</v>
      </c>
      <c r="I54" s="81">
        <f t="shared" si="11"/>
        <v>0.19006679999999998</v>
      </c>
      <c r="J54" s="80">
        <f t="shared" ref="J54:J56" si="24">(0.0050811768+0.0000286052*(F54^2*G54))</f>
        <v>0.198910012</v>
      </c>
      <c r="K54" s="81">
        <f t="shared" si="12"/>
        <v>0.9945500599999999</v>
      </c>
      <c r="L54" s="81">
        <f t="shared" si="13"/>
        <v>5</v>
      </c>
    </row>
    <row r="55" spans="1:12" x14ac:dyDescent="0.25">
      <c r="A55" s="77">
        <v>4</v>
      </c>
      <c r="B55" s="83">
        <v>15</v>
      </c>
      <c r="C55" s="78" t="s">
        <v>58</v>
      </c>
      <c r="D55" s="79" t="s">
        <v>64</v>
      </c>
      <c r="E55" s="83" t="s">
        <v>53</v>
      </c>
      <c r="F55" s="78">
        <v>20</v>
      </c>
      <c r="G55" s="78">
        <v>15</v>
      </c>
      <c r="H55" s="80">
        <f t="shared" si="20"/>
        <v>3.1416000000000006E-2</v>
      </c>
      <c r="I55" s="81">
        <f t="shared" si="11"/>
        <v>0.15708000000000003</v>
      </c>
      <c r="J55" s="80">
        <f t="shared" si="24"/>
        <v>0.17671237679999999</v>
      </c>
      <c r="K55" s="81">
        <f t="shared" si="12"/>
        <v>0.88356188399999991</v>
      </c>
      <c r="L55" s="81">
        <f t="shared" si="13"/>
        <v>5</v>
      </c>
    </row>
    <row r="56" spans="1:12" x14ac:dyDescent="0.25">
      <c r="A56" s="77">
        <v>4</v>
      </c>
      <c r="B56" s="83">
        <v>16</v>
      </c>
      <c r="C56" s="78" t="s">
        <v>58</v>
      </c>
      <c r="D56" s="79" t="s">
        <v>64</v>
      </c>
      <c r="E56" s="83" t="s">
        <v>53</v>
      </c>
      <c r="F56" s="78">
        <v>20</v>
      </c>
      <c r="G56" s="78">
        <v>15</v>
      </c>
      <c r="H56" s="80">
        <f t="shared" si="20"/>
        <v>3.1416000000000006E-2</v>
      </c>
      <c r="I56" s="81">
        <f t="shared" si="11"/>
        <v>0.15708000000000003</v>
      </c>
      <c r="J56" s="80">
        <f t="shared" si="24"/>
        <v>0.17671237679999999</v>
      </c>
      <c r="K56" s="81">
        <f t="shared" si="12"/>
        <v>0.88356188399999991</v>
      </c>
      <c r="L56" s="81">
        <f t="shared" si="13"/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D14" sqref="D14:E16"/>
    </sheetView>
  </sheetViews>
  <sheetFormatPr baseColWidth="10" defaultColWidth="11.42578125" defaultRowHeight="15" x14ac:dyDescent="0.25"/>
  <cols>
    <col min="1" max="1" width="20.28515625" customWidth="1"/>
    <col min="2" max="2" width="19" bestFit="1" customWidth="1"/>
    <col min="3" max="3" width="4.140625" bestFit="1" customWidth="1"/>
    <col min="4" max="4" width="21.7109375" customWidth="1"/>
    <col min="5" max="5" width="31.85546875" customWidth="1"/>
    <col min="7" max="7" width="14" customWidth="1"/>
  </cols>
  <sheetData>
    <row r="3" spans="1:11" x14ac:dyDescent="0.25">
      <c r="A3" s="3" t="s">
        <v>12</v>
      </c>
      <c r="B3" t="s">
        <v>14</v>
      </c>
    </row>
    <row r="4" spans="1:11" x14ac:dyDescent="0.25">
      <c r="A4" s="4" t="s">
        <v>59</v>
      </c>
      <c r="B4" s="6">
        <v>29</v>
      </c>
    </row>
    <row r="5" spans="1:11" x14ac:dyDescent="0.25">
      <c r="A5" s="5" t="s">
        <v>58</v>
      </c>
      <c r="B5" s="6">
        <v>29</v>
      </c>
    </row>
    <row r="6" spans="1:11" x14ac:dyDescent="0.25">
      <c r="A6" s="4" t="s">
        <v>60</v>
      </c>
      <c r="B6" s="6">
        <v>6</v>
      </c>
    </row>
    <row r="7" spans="1:11" x14ac:dyDescent="0.25">
      <c r="A7" s="5" t="s">
        <v>57</v>
      </c>
      <c r="B7" s="6">
        <v>6</v>
      </c>
    </row>
    <row r="8" spans="1:11" x14ac:dyDescent="0.25">
      <c r="A8" s="4" t="s">
        <v>56</v>
      </c>
      <c r="B8" s="6">
        <v>20</v>
      </c>
    </row>
    <row r="9" spans="1:11" x14ac:dyDescent="0.25">
      <c r="A9" s="5" t="s">
        <v>62</v>
      </c>
      <c r="B9" s="6">
        <v>20</v>
      </c>
    </row>
    <row r="10" spans="1:11" x14ac:dyDescent="0.25">
      <c r="A10" s="4" t="s">
        <v>13</v>
      </c>
      <c r="B10" s="6">
        <v>55</v>
      </c>
      <c r="K10">
        <f>0.15*100/1.34</f>
        <v>11.194029850746269</v>
      </c>
    </row>
    <row r="13" spans="1:11" ht="30" customHeight="1" x14ac:dyDescent="0.25">
      <c r="C13" s="20" t="s">
        <v>21</v>
      </c>
      <c r="D13" s="21" t="s">
        <v>22</v>
      </c>
      <c r="E13" s="21" t="s">
        <v>23</v>
      </c>
      <c r="F13" s="21" t="s">
        <v>24</v>
      </c>
      <c r="G13" s="22" t="s">
        <v>25</v>
      </c>
    </row>
    <row r="14" spans="1:11" x14ac:dyDescent="0.25">
      <c r="C14" s="8">
        <v>1</v>
      </c>
      <c r="D14" s="8" t="str">
        <f>A5</f>
        <v>Pino triste</v>
      </c>
      <c r="E14" s="9" t="str">
        <f>A4</f>
        <v>Pinus psudostrobus</v>
      </c>
      <c r="F14" s="10">
        <f>GETPIVOTDATA("No. Arbol",$A$3,"Especie","Pinus psudostrobus")</f>
        <v>29</v>
      </c>
      <c r="G14" s="11">
        <f>F14/F17*100</f>
        <v>52.72727272727272</v>
      </c>
    </row>
    <row r="15" spans="1:11" x14ac:dyDescent="0.25">
      <c r="C15" s="8">
        <v>2</v>
      </c>
      <c r="D15" s="8" t="str">
        <f>A7</f>
        <v>Chulube</v>
      </c>
      <c r="E15" s="9" t="str">
        <f>A6</f>
        <v>N.D</v>
      </c>
      <c r="F15" s="10">
        <f>GETPIVOTDATA("No. Arbol",$A$3,"Especie","N.D")</f>
        <v>6</v>
      </c>
      <c r="G15" s="11">
        <f>F15/F17*100</f>
        <v>10.909090909090908</v>
      </c>
    </row>
    <row r="16" spans="1:11" s="1" customFormat="1" x14ac:dyDescent="0.25">
      <c r="C16" s="66">
        <v>3</v>
      </c>
      <c r="D16" s="8" t="str">
        <f>A9</f>
        <v xml:space="preserve">Ciprés </v>
      </c>
      <c r="E16" s="68" t="str">
        <f>A8</f>
        <v>Cupresus lusitanica</v>
      </c>
      <c r="F16" s="10">
        <f>GETPIVOTDATA("No. Arbol",$A$3,"Especie","Cupresus lusitanica")</f>
        <v>20</v>
      </c>
      <c r="G16" s="11">
        <f>F16/F17*100</f>
        <v>36.363636363636367</v>
      </c>
    </row>
    <row r="17" spans="3:7" x14ac:dyDescent="0.25">
      <c r="C17" s="88" t="s">
        <v>26</v>
      </c>
      <c r="D17" s="89"/>
      <c r="E17" s="90"/>
      <c r="F17" s="23">
        <f>SUM(F14:F16)</f>
        <v>55</v>
      </c>
      <c r="G17" s="24">
        <f>SUM(G14:G16)</f>
        <v>100</v>
      </c>
    </row>
  </sheetData>
  <mergeCells count="1">
    <mergeCell ref="C17:E17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B1" workbookViewId="0">
      <selection activeCell="D19" sqref="D19"/>
    </sheetView>
  </sheetViews>
  <sheetFormatPr baseColWidth="10" defaultColWidth="11.42578125" defaultRowHeight="15" x14ac:dyDescent="0.25"/>
  <cols>
    <col min="1" max="1" width="18.42578125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3" t="s">
        <v>16</v>
      </c>
    </row>
    <row r="4" spans="1:12" x14ac:dyDescent="0.25">
      <c r="A4" s="3" t="s">
        <v>12</v>
      </c>
      <c r="B4" s="1" t="s">
        <v>15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12" x14ac:dyDescent="0.25">
      <c r="A5" s="4" t="s">
        <v>59</v>
      </c>
      <c r="B5" s="7">
        <v>145</v>
      </c>
      <c r="C5" s="2">
        <v>21.689655172413794</v>
      </c>
      <c r="D5" s="2">
        <v>13.458620689655174</v>
      </c>
      <c r="E5" s="2">
        <v>6.0958820999999999</v>
      </c>
      <c r="F5" s="2">
        <v>32.57793388599999</v>
      </c>
    </row>
    <row r="6" spans="1:12" x14ac:dyDescent="0.25">
      <c r="A6" s="4" t="s">
        <v>60</v>
      </c>
      <c r="B6" s="7">
        <v>30</v>
      </c>
      <c r="C6" s="2">
        <v>16.333333333333332</v>
      </c>
      <c r="D6" s="2">
        <v>10.166666666666666</v>
      </c>
      <c r="E6" s="2">
        <v>0.69664979999999999</v>
      </c>
      <c r="F6" s="2">
        <v>7.978136300000001</v>
      </c>
    </row>
    <row r="7" spans="1:12" x14ac:dyDescent="0.25">
      <c r="A7" s="4" t="s">
        <v>56</v>
      </c>
      <c r="B7" s="7">
        <v>100</v>
      </c>
      <c r="C7" s="2">
        <v>19.48</v>
      </c>
      <c r="D7" s="2">
        <v>15.8</v>
      </c>
      <c r="E7" s="2">
        <v>3.0858680159999996</v>
      </c>
      <c r="F7" s="2">
        <v>19.682848145399998</v>
      </c>
      <c r="L7">
        <f>2013-1977</f>
        <v>36</v>
      </c>
    </row>
    <row r="8" spans="1:12" x14ac:dyDescent="0.25">
      <c r="A8" s="4" t="s">
        <v>13</v>
      </c>
      <c r="B8" s="7">
        <v>275</v>
      </c>
      <c r="C8" s="2">
        <v>20.301818181818181</v>
      </c>
      <c r="D8" s="2">
        <v>13.950909090909089</v>
      </c>
      <c r="E8" s="2">
        <v>9.8783999160000029</v>
      </c>
      <c r="F8" s="2">
        <v>60.238918331399987</v>
      </c>
    </row>
    <row r="12" spans="1:12" x14ac:dyDescent="0.25">
      <c r="B12" s="95" t="s">
        <v>27</v>
      </c>
      <c r="C12" s="95" t="s">
        <v>28</v>
      </c>
      <c r="D12" s="92" t="s">
        <v>3</v>
      </c>
      <c r="E12" s="91" t="s">
        <v>15</v>
      </c>
      <c r="F12" s="91" t="s">
        <v>17</v>
      </c>
      <c r="G12" s="91" t="s">
        <v>18</v>
      </c>
      <c r="H12" s="91" t="s">
        <v>19</v>
      </c>
      <c r="I12" s="92" t="s">
        <v>29</v>
      </c>
      <c r="J12" s="92"/>
    </row>
    <row r="13" spans="1:12" x14ac:dyDescent="0.25">
      <c r="B13" s="95"/>
      <c r="C13" s="95"/>
      <c r="D13" s="92"/>
      <c r="E13" s="91"/>
      <c r="F13" s="91"/>
      <c r="G13" s="91"/>
      <c r="H13" s="91"/>
      <c r="I13" s="19" t="s">
        <v>30</v>
      </c>
      <c r="J13" s="19" t="s">
        <v>27</v>
      </c>
    </row>
    <row r="14" spans="1:12" x14ac:dyDescent="0.25">
      <c r="B14" s="93">
        <v>1</v>
      </c>
      <c r="C14" s="94">
        <v>2.38</v>
      </c>
      <c r="D14" s="12" t="str">
        <f>A5</f>
        <v>Pinus psudostrobus</v>
      </c>
      <c r="E14" s="16">
        <f>GETPIVOTDATA("Suma de Densidad/Ha.",$A$3,"Especie","Pinus psudostrobus")</f>
        <v>145</v>
      </c>
      <c r="F14" s="13">
        <f>GETPIVOTDATA("Promedio de DAP (cm)",$A$3,"Especie","Pinus psudostrobus")</f>
        <v>21.689655172413794</v>
      </c>
      <c r="G14" s="13">
        <f>GETPIVOTDATA("Promedio de Altura (m)",$A$3,"Especie","Pinus psudostrobus")</f>
        <v>13.458620689655174</v>
      </c>
      <c r="H14" s="13">
        <f>GETPIVOTDATA("Suma de AB/Ha.",$A$3,"Especie","Pinus psudostrobus")</f>
        <v>6.0958820999999999</v>
      </c>
      <c r="I14" s="13">
        <f>GETPIVOTDATA("Suma de Volumen/Ha.",$A$3,"Especie","Pinus psudostrobus")</f>
        <v>32.57793388599999</v>
      </c>
      <c r="J14" s="14">
        <f>I14*C14</f>
        <v>77.535482648679974</v>
      </c>
    </row>
    <row r="15" spans="1:12" x14ac:dyDescent="0.25">
      <c r="B15" s="93"/>
      <c r="C15" s="94"/>
      <c r="D15" s="12" t="str">
        <f>A6</f>
        <v>N.D</v>
      </c>
      <c r="E15" s="16">
        <f>GETPIVOTDATA("Suma de Densidad/Ha.",$A$3,"Especie","N.D")</f>
        <v>30</v>
      </c>
      <c r="F15" s="13">
        <f>GETPIVOTDATA("Promedio de DAP (cm)",$A$3,"Especie","N.D")</f>
        <v>16.333333333333332</v>
      </c>
      <c r="G15" s="13">
        <f>GETPIVOTDATA("Promedio de Altura (m)",$A$3,"Especie","N.D")</f>
        <v>10.166666666666666</v>
      </c>
      <c r="H15" s="13">
        <f>GETPIVOTDATA("Suma de AB/Ha.",$A$3,"Especie","N.D")</f>
        <v>0.69664979999999999</v>
      </c>
      <c r="I15" s="13">
        <f>GETPIVOTDATA("Suma de Volumen/Ha.",$A$3,"Especie","N.D")</f>
        <v>7.978136300000001</v>
      </c>
      <c r="J15" s="14">
        <f>I15*C14</f>
        <v>18.987964394000002</v>
      </c>
    </row>
    <row r="16" spans="1:12" s="1" customFormat="1" x14ac:dyDescent="0.25">
      <c r="B16" s="93"/>
      <c r="C16" s="94"/>
      <c r="D16" s="12" t="str">
        <f>A7</f>
        <v>Cupresus lusitanica</v>
      </c>
      <c r="E16" s="16">
        <f>GETPIVOTDATA("Suma de Densidad/Ha.",$A$3,"Especie","Cupresus lusitanica")</f>
        <v>100</v>
      </c>
      <c r="F16" s="13">
        <f>GETPIVOTDATA("Promedio de DAP (cm)",$A$3,"Especie","Cupresus lusitanica")</f>
        <v>19.48</v>
      </c>
      <c r="G16" s="13">
        <f>GETPIVOTDATA("Promedio de Altura (m)",$A$3,"Especie","Cupresus lusitanica")</f>
        <v>15.8</v>
      </c>
      <c r="H16" s="13">
        <f>GETPIVOTDATA("Suma de AB/Ha.",$A$3,"Especie","Cupresus lusitanica")</f>
        <v>3.0858680159999996</v>
      </c>
      <c r="I16" s="13">
        <f>GETPIVOTDATA("Suma de Volumen/Ha.",$A$3,"Especie","Cupresus lusitanica")</f>
        <v>19.682848145399998</v>
      </c>
      <c r="J16" s="59">
        <f>I16*C14</f>
        <v>46.845178586051993</v>
      </c>
    </row>
    <row r="17" spans="2:10" x14ac:dyDescent="0.25">
      <c r="B17" s="93"/>
      <c r="C17" s="94"/>
      <c r="D17" s="17" t="s">
        <v>13</v>
      </c>
      <c r="E17" s="18">
        <f>GETPIVOTDATA("Suma de Densidad/Ha.",$A$3)</f>
        <v>275</v>
      </c>
      <c r="F17" s="69">
        <f>GETPIVOTDATA("Promedio de DAP (cm)",$A$3)</f>
        <v>20.301818181818181</v>
      </c>
      <c r="G17" s="69">
        <f>GETPIVOTDATA("Promedio de Altura (m)",$A$3)</f>
        <v>13.950909090909089</v>
      </c>
      <c r="H17" s="69">
        <f>GETPIVOTDATA("Suma de AB/Ha.",$A$3)</f>
        <v>9.8783999160000029</v>
      </c>
      <c r="I17" s="69">
        <f>GETPIVOTDATA("Suma de Volumen/Ha.",$A$3)</f>
        <v>60.238918331399987</v>
      </c>
      <c r="J17" s="69">
        <f>I17*C14</f>
        <v>143.36862562873196</v>
      </c>
    </row>
  </sheetData>
  <mergeCells count="10">
    <mergeCell ref="H12:H13"/>
    <mergeCell ref="I12:J12"/>
    <mergeCell ref="B14:B17"/>
    <mergeCell ref="C14:C17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D12" sqref="D12"/>
    </sheetView>
  </sheetViews>
  <sheetFormatPr baseColWidth="10" defaultColWidth="11.42578125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3" t="s">
        <v>16</v>
      </c>
    </row>
    <row r="4" spans="1:7" ht="30" x14ac:dyDescent="0.25">
      <c r="A4" s="51" t="s">
        <v>32</v>
      </c>
      <c r="B4" s="30" t="s">
        <v>15</v>
      </c>
      <c r="C4" s="30" t="s">
        <v>17</v>
      </c>
      <c r="D4" s="30" t="s">
        <v>18</v>
      </c>
      <c r="E4" s="30" t="s">
        <v>19</v>
      </c>
      <c r="F4" s="51" t="s">
        <v>20</v>
      </c>
      <c r="G4" s="22" t="s">
        <v>31</v>
      </c>
    </row>
    <row r="5" spans="1:7" x14ac:dyDescent="0.25">
      <c r="A5" s="50">
        <v>1</v>
      </c>
      <c r="B5" s="27">
        <v>80</v>
      </c>
      <c r="C5" s="28">
        <v>20.4375</v>
      </c>
      <c r="D5" s="28">
        <v>10.893750000000001</v>
      </c>
      <c r="E5" s="28">
        <v>3.1734086999999995</v>
      </c>
      <c r="F5" s="49">
        <v>15.724012987999997</v>
      </c>
      <c r="G5" s="29">
        <f>F5*2.38</f>
        <v>37.42315091143999</v>
      </c>
    </row>
    <row r="6" spans="1:7" x14ac:dyDescent="0.25">
      <c r="A6" s="50">
        <v>2</v>
      </c>
      <c r="B6" s="27">
        <v>50</v>
      </c>
      <c r="C6" s="28">
        <v>23.8</v>
      </c>
      <c r="D6" s="28">
        <v>15.8</v>
      </c>
      <c r="E6" s="28">
        <v>2.4363107999999998</v>
      </c>
      <c r="F6" s="49">
        <v>17.407284734000001</v>
      </c>
      <c r="G6" s="29">
        <f>F6*2.38</f>
        <v>41.429337666919999</v>
      </c>
    </row>
    <row r="7" spans="1:7" x14ac:dyDescent="0.25">
      <c r="A7" s="50">
        <v>3</v>
      </c>
      <c r="B7" s="27">
        <v>65</v>
      </c>
      <c r="C7" s="28">
        <v>19.830769230769231</v>
      </c>
      <c r="D7" s="28">
        <v>15.615384615384615</v>
      </c>
      <c r="E7" s="28">
        <v>2.091535908</v>
      </c>
      <c r="F7" s="49">
        <v>13.938494135200001</v>
      </c>
      <c r="G7" s="29">
        <f>F7*2.38</f>
        <v>33.173616041776</v>
      </c>
    </row>
    <row r="8" spans="1:7" x14ac:dyDescent="0.25">
      <c r="A8" s="50">
        <v>4</v>
      </c>
      <c r="B8" s="27">
        <v>80</v>
      </c>
      <c r="C8" s="28">
        <v>18.362500000000001</v>
      </c>
      <c r="D8" s="28">
        <v>14.5</v>
      </c>
      <c r="E8" s="28">
        <v>2.177144508</v>
      </c>
      <c r="F8" s="49">
        <v>13.169126474200002</v>
      </c>
      <c r="G8" s="70">
        <f>F8*2.38</f>
        <v>31.342521008596005</v>
      </c>
    </row>
    <row r="9" spans="1:7" x14ac:dyDescent="0.25">
      <c r="A9" s="53" t="s">
        <v>13</v>
      </c>
      <c r="B9" s="31">
        <v>275</v>
      </c>
      <c r="C9" s="32">
        <v>20.301818181818181</v>
      </c>
      <c r="D9" s="32">
        <v>13.950909090909089</v>
      </c>
      <c r="E9" s="32">
        <v>9.8783999160000029</v>
      </c>
      <c r="F9" s="52">
        <v>60.238918331399994</v>
      </c>
      <c r="G9" s="33">
        <f>F9*2.38</f>
        <v>143.36862562873199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topLeftCell="A4" workbookViewId="0">
      <selection activeCell="D18" sqref="D18"/>
    </sheetView>
  </sheetViews>
  <sheetFormatPr baseColWidth="10" defaultColWidth="11.42578125" defaultRowHeight="15" x14ac:dyDescent="0.25"/>
  <cols>
    <col min="1" max="1" width="20.28515625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8" x14ac:dyDescent="0.25">
      <c r="B3" s="3" t="s">
        <v>16</v>
      </c>
    </row>
    <row r="4" spans="1:8" ht="45" x14ac:dyDescent="0.25">
      <c r="A4" s="51" t="s">
        <v>34</v>
      </c>
      <c r="B4" s="30" t="s">
        <v>15</v>
      </c>
      <c r="C4" s="30" t="s">
        <v>17</v>
      </c>
      <c r="D4" s="30" t="s">
        <v>18</v>
      </c>
      <c r="E4" s="30" t="s">
        <v>19</v>
      </c>
      <c r="F4" s="51" t="s">
        <v>20</v>
      </c>
      <c r="G4" s="35" t="s">
        <v>33</v>
      </c>
    </row>
    <row r="5" spans="1:8" x14ac:dyDescent="0.25">
      <c r="A5" s="47" t="s">
        <v>59</v>
      </c>
      <c r="B5" s="25">
        <v>145</v>
      </c>
      <c r="C5" s="26">
        <v>21.689655172413794</v>
      </c>
      <c r="D5" s="26">
        <v>13.458620689655174</v>
      </c>
      <c r="E5" s="26">
        <v>6.0958821000000007</v>
      </c>
      <c r="F5" s="48">
        <v>32.577933885999997</v>
      </c>
      <c r="G5" s="15">
        <f>F5*2.38</f>
        <v>77.535482648679988</v>
      </c>
    </row>
    <row r="6" spans="1:8" x14ac:dyDescent="0.25">
      <c r="A6" s="5" t="s">
        <v>52</v>
      </c>
      <c r="B6" s="25">
        <v>55</v>
      </c>
      <c r="C6" s="26">
        <v>14.545454545454545</v>
      </c>
      <c r="D6" s="26">
        <v>11.909090909090908</v>
      </c>
      <c r="E6" s="26">
        <v>0.95269020000000004</v>
      </c>
      <c r="F6" s="48">
        <v>4.7477399899999995</v>
      </c>
      <c r="G6" s="71">
        <f t="shared" ref="G6:G17" si="0">F6*2.38</f>
        <v>11.299621176199999</v>
      </c>
    </row>
    <row r="7" spans="1:8" x14ac:dyDescent="0.25">
      <c r="A7" s="5" t="s">
        <v>53</v>
      </c>
      <c r="B7" s="25">
        <v>50</v>
      </c>
      <c r="C7" s="26">
        <v>20.7</v>
      </c>
      <c r="D7" s="26">
        <v>13.8</v>
      </c>
      <c r="E7" s="26">
        <v>1.7557617000000003</v>
      </c>
      <c r="F7" s="48">
        <v>9.3565195320000001</v>
      </c>
      <c r="G7" s="71">
        <f t="shared" si="0"/>
        <v>22.268516486159999</v>
      </c>
    </row>
    <row r="8" spans="1:8" x14ac:dyDescent="0.25">
      <c r="A8" s="5" t="s">
        <v>61</v>
      </c>
      <c r="B8" s="25">
        <v>40</v>
      </c>
      <c r="C8" s="26">
        <v>32.75</v>
      </c>
      <c r="D8" s="26">
        <v>15.1625</v>
      </c>
      <c r="E8" s="26">
        <v>3.3874301999999998</v>
      </c>
      <c r="F8" s="48">
        <v>18.473674363999997</v>
      </c>
      <c r="G8" s="71">
        <f t="shared" si="0"/>
        <v>43.967344986319993</v>
      </c>
    </row>
    <row r="9" spans="1:8" x14ac:dyDescent="0.25">
      <c r="A9" s="47" t="s">
        <v>60</v>
      </c>
      <c r="B9" s="25">
        <v>30</v>
      </c>
      <c r="C9" s="26">
        <v>16.333333333333332</v>
      </c>
      <c r="D9" s="26">
        <v>10.166666666666666</v>
      </c>
      <c r="E9" s="26">
        <v>0.69664979999999999</v>
      </c>
      <c r="F9" s="48">
        <v>7.9781362999999992</v>
      </c>
      <c r="G9" s="71">
        <f t="shared" si="0"/>
        <v>18.987964393999999</v>
      </c>
    </row>
    <row r="10" spans="1:8" x14ac:dyDescent="0.25">
      <c r="A10" s="5" t="s">
        <v>52</v>
      </c>
      <c r="B10" s="25">
        <v>20</v>
      </c>
      <c r="C10" s="26">
        <v>12.75</v>
      </c>
      <c r="D10" s="26">
        <v>9</v>
      </c>
      <c r="E10" s="26">
        <v>0.25800389999999995</v>
      </c>
      <c r="F10" s="48">
        <v>3.5119613899999997</v>
      </c>
      <c r="G10" s="71">
        <f t="shared" si="0"/>
        <v>8.3584681081999985</v>
      </c>
    </row>
    <row r="11" spans="1:8" x14ac:dyDescent="0.25">
      <c r="A11" s="5" t="s">
        <v>53</v>
      </c>
      <c r="B11" s="25">
        <v>10</v>
      </c>
      <c r="C11" s="26">
        <v>23.5</v>
      </c>
      <c r="D11" s="26">
        <v>12.5</v>
      </c>
      <c r="E11" s="26">
        <v>0.43864589999999998</v>
      </c>
      <c r="F11" s="48">
        <v>4.4661749099999994</v>
      </c>
      <c r="G11" s="15">
        <f t="shared" si="0"/>
        <v>10.629496285799998</v>
      </c>
      <c r="H11" s="55"/>
    </row>
    <row r="12" spans="1:8" x14ac:dyDescent="0.25">
      <c r="A12" s="47" t="s">
        <v>56</v>
      </c>
      <c r="B12" s="25">
        <v>100</v>
      </c>
      <c r="C12" s="26">
        <v>19.48</v>
      </c>
      <c r="D12" s="26">
        <v>15.8</v>
      </c>
      <c r="E12" s="26">
        <v>3.085868016</v>
      </c>
      <c r="F12" s="48">
        <v>19.682848145399998</v>
      </c>
      <c r="G12" s="71">
        <f t="shared" si="0"/>
        <v>46.845178586051993</v>
      </c>
      <c r="H12" s="55"/>
    </row>
    <row r="13" spans="1:8" x14ac:dyDescent="0.25">
      <c r="A13" s="5" t="s">
        <v>52</v>
      </c>
      <c r="B13" s="25">
        <v>80</v>
      </c>
      <c r="C13" s="26">
        <v>17.787500000000001</v>
      </c>
      <c r="D13" s="26">
        <v>15.375</v>
      </c>
      <c r="E13" s="26">
        <v>2.0016233160000003</v>
      </c>
      <c r="F13" s="48">
        <v>12.416935202400001</v>
      </c>
      <c r="G13" s="71">
        <f t="shared" si="0"/>
        <v>29.552305781712001</v>
      </c>
      <c r="H13" s="55"/>
    </row>
    <row r="14" spans="1:8" x14ac:dyDescent="0.25">
      <c r="A14" s="5" t="s">
        <v>53</v>
      </c>
      <c r="B14" s="25">
        <v>20</v>
      </c>
      <c r="C14" s="26">
        <v>26.25</v>
      </c>
      <c r="D14" s="26">
        <v>17.5</v>
      </c>
      <c r="E14" s="26">
        <v>1.0842447</v>
      </c>
      <c r="F14" s="48">
        <v>7.265912943</v>
      </c>
      <c r="G14" s="15">
        <f t="shared" si="0"/>
        <v>17.29287280434</v>
      </c>
      <c r="H14" s="55"/>
    </row>
    <row r="15" spans="1:8" x14ac:dyDescent="0.25">
      <c r="A15" s="54" t="s">
        <v>13</v>
      </c>
      <c r="B15" s="45">
        <v>275</v>
      </c>
      <c r="C15" s="46">
        <v>20.301818181818181</v>
      </c>
      <c r="D15" s="46">
        <v>13.950909090909089</v>
      </c>
      <c r="E15" s="46">
        <v>9.8783999160000011</v>
      </c>
      <c r="F15" s="67">
        <v>60.238918331399994</v>
      </c>
      <c r="G15" s="34">
        <f t="shared" si="0"/>
        <v>143.36862562873199</v>
      </c>
      <c r="H15" s="55"/>
    </row>
    <row r="16" spans="1:8" x14ac:dyDescent="0.25">
      <c r="G16" s="71">
        <f t="shared" si="0"/>
        <v>0</v>
      </c>
    </row>
    <row r="17" spans="7:7" x14ac:dyDescent="0.25">
      <c r="G17" s="34">
        <f t="shared" si="0"/>
        <v>0</v>
      </c>
    </row>
    <row r="18" spans="7:7" x14ac:dyDescent="0.25">
      <c r="G18" s="71"/>
    </row>
    <row r="19" spans="7:7" x14ac:dyDescent="0.25">
      <c r="G19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E15" sqref="E15"/>
    </sheetView>
  </sheetViews>
  <sheetFormatPr baseColWidth="10" defaultColWidth="11.42578125" defaultRowHeight="15" x14ac:dyDescent="0.25"/>
  <cols>
    <col min="5" max="5" width="21.140625" customWidth="1"/>
    <col min="6" max="6" width="12.85546875" customWidth="1"/>
  </cols>
  <sheetData>
    <row r="3" spans="2:6" x14ac:dyDescent="0.25">
      <c r="B3" s="96" t="s">
        <v>35</v>
      </c>
      <c r="C3" s="96"/>
      <c r="D3" s="36" t="s">
        <v>36</v>
      </c>
      <c r="E3" s="36" t="s">
        <v>37</v>
      </c>
      <c r="F3" s="37" t="s">
        <v>38</v>
      </c>
    </row>
    <row r="4" spans="2:6" x14ac:dyDescent="0.25">
      <c r="B4" s="96"/>
      <c r="C4" s="96"/>
      <c r="D4" s="38">
        <v>2.38</v>
      </c>
      <c r="E4" s="38">
        <v>2.3530000000000002</v>
      </c>
      <c r="F4" s="38">
        <v>4</v>
      </c>
    </row>
    <row r="5" spans="2:6" x14ac:dyDescent="0.25">
      <c r="B5" s="36" t="s">
        <v>39</v>
      </c>
      <c r="C5" s="36" t="s">
        <v>40</v>
      </c>
      <c r="D5" s="36" t="s">
        <v>41</v>
      </c>
      <c r="E5" s="36" t="s">
        <v>42</v>
      </c>
      <c r="F5" s="36" t="s">
        <v>43</v>
      </c>
    </row>
    <row r="6" spans="2:6" x14ac:dyDescent="0.25">
      <c r="B6" s="36">
        <v>1</v>
      </c>
      <c r="C6" s="49">
        <v>15.724012987999997</v>
      </c>
      <c r="D6" s="39">
        <f>C6*C6</f>
        <v>247.24458444679257</v>
      </c>
      <c r="E6" s="36" t="s">
        <v>44</v>
      </c>
      <c r="F6" s="40">
        <f>C16/F4</f>
        <v>15.05972958285</v>
      </c>
    </row>
    <row r="7" spans="2:6" x14ac:dyDescent="0.25">
      <c r="B7" s="36">
        <v>2</v>
      </c>
      <c r="C7" s="49">
        <v>17.407284734000001</v>
      </c>
      <c r="D7" s="39">
        <f>C7*C7</f>
        <v>303.0135618105495</v>
      </c>
      <c r="E7" s="36" t="s">
        <v>45</v>
      </c>
      <c r="F7" s="41">
        <f>(((D16)-((C16*C16)/F4))/(F4-1))</f>
        <v>3.5946122245175047</v>
      </c>
    </row>
    <row r="8" spans="2:6" x14ac:dyDescent="0.25">
      <c r="B8" s="36">
        <v>3</v>
      </c>
      <c r="C8" s="49">
        <v>13.938494135200001</v>
      </c>
      <c r="D8" s="39">
        <f>C8*C8</f>
        <v>194.28161875700482</v>
      </c>
      <c r="E8" s="36" t="s">
        <v>46</v>
      </c>
      <c r="F8" s="41">
        <f>SQRT(F7)</f>
        <v>1.895946260978276</v>
      </c>
    </row>
    <row r="9" spans="2:6" x14ac:dyDescent="0.25">
      <c r="B9" s="36">
        <v>4</v>
      </c>
      <c r="C9" s="49">
        <v>13.169126474200002</v>
      </c>
      <c r="D9" s="39">
        <f t="shared" ref="D9:D15" si="0">C9*C9</f>
        <v>173.42589209347537</v>
      </c>
      <c r="E9" s="36" t="s">
        <v>47</v>
      </c>
      <c r="F9" s="41">
        <f>SQRT(((F7)/F4)*(1-((F4)/(D4*10))))</f>
        <v>0.86464959899881333</v>
      </c>
    </row>
    <row r="10" spans="2:6" x14ac:dyDescent="0.25">
      <c r="B10" s="36"/>
      <c r="C10" s="49"/>
      <c r="D10" s="39">
        <f t="shared" si="0"/>
        <v>0</v>
      </c>
      <c r="E10" s="36" t="s">
        <v>48</v>
      </c>
      <c r="F10" s="41">
        <f>F9*E4</f>
        <v>2.034520506444208</v>
      </c>
    </row>
    <row r="11" spans="2:6" x14ac:dyDescent="0.25">
      <c r="B11" s="36"/>
      <c r="C11" s="42"/>
      <c r="D11" s="39">
        <f t="shared" si="0"/>
        <v>0</v>
      </c>
      <c r="E11" s="36" t="s">
        <v>48</v>
      </c>
      <c r="F11" s="43">
        <f>((F10)/F6)</f>
        <v>0.13509674893240561</v>
      </c>
    </row>
    <row r="12" spans="2:6" x14ac:dyDescent="0.25">
      <c r="B12" s="36"/>
      <c r="C12" s="42"/>
      <c r="D12" s="39">
        <f t="shared" si="0"/>
        <v>0</v>
      </c>
      <c r="E12" s="36" t="s">
        <v>49</v>
      </c>
      <c r="F12" s="41">
        <f>F6+F10</f>
        <v>17.094250089294206</v>
      </c>
    </row>
    <row r="13" spans="2:6" x14ac:dyDescent="0.25">
      <c r="B13" s="36"/>
      <c r="C13" s="42"/>
      <c r="D13" s="39">
        <f t="shared" si="0"/>
        <v>0</v>
      </c>
      <c r="E13" s="36" t="s">
        <v>50</v>
      </c>
      <c r="F13" s="41">
        <f>F6-F10</f>
        <v>13.025209076405792</v>
      </c>
    </row>
    <row r="14" spans="2:6" x14ac:dyDescent="0.25">
      <c r="B14" s="36"/>
      <c r="C14" s="42"/>
      <c r="D14" s="39">
        <f t="shared" si="0"/>
        <v>0</v>
      </c>
      <c r="E14" s="36"/>
      <c r="F14" s="41"/>
    </row>
    <row r="15" spans="2:6" x14ac:dyDescent="0.25">
      <c r="B15" s="36"/>
      <c r="C15" s="42"/>
      <c r="D15" s="39">
        <f t="shared" si="0"/>
        <v>0</v>
      </c>
      <c r="E15" s="36"/>
      <c r="F15" s="41"/>
    </row>
    <row r="16" spans="2:6" x14ac:dyDescent="0.25">
      <c r="B16" s="36" t="s">
        <v>51</v>
      </c>
      <c r="C16" s="44">
        <f>SUM(C6:C15)</f>
        <v>60.238918331400001</v>
      </c>
      <c r="D16" s="44">
        <f>SUM(D6:D15)</f>
        <v>917.96565710782227</v>
      </c>
      <c r="E16" s="36"/>
      <c r="F16" s="36"/>
    </row>
  </sheetData>
  <mergeCells count="1">
    <mergeCell ref="B3:C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baseColWidth="10" defaultColWidth="11.42578125" defaultRowHeight="15" x14ac:dyDescent="0.25"/>
  <sheetData>
    <row r="1" spans="1:3" x14ac:dyDescent="0.25">
      <c r="A1" s="72" t="s">
        <v>21</v>
      </c>
      <c r="B1" s="72" t="s">
        <v>65</v>
      </c>
      <c r="C1" s="72" t="s">
        <v>66</v>
      </c>
    </row>
    <row r="2" spans="1:3" x14ac:dyDescent="0.25">
      <c r="A2" s="8">
        <v>1</v>
      </c>
      <c r="B2" s="8">
        <v>392268</v>
      </c>
      <c r="C2" s="8">
        <v>1725237</v>
      </c>
    </row>
    <row r="3" spans="1:3" x14ac:dyDescent="0.25">
      <c r="A3" s="8">
        <v>2</v>
      </c>
      <c r="B3" s="8">
        <v>392253</v>
      </c>
      <c r="C3" s="8">
        <v>1725278</v>
      </c>
    </row>
    <row r="4" spans="1:3" x14ac:dyDescent="0.25">
      <c r="A4" s="8">
        <v>3</v>
      </c>
      <c r="B4" s="8">
        <v>391839</v>
      </c>
      <c r="C4" s="8">
        <v>1724818</v>
      </c>
    </row>
    <row r="5" spans="1:3" x14ac:dyDescent="0.25">
      <c r="A5" s="8">
        <v>4</v>
      </c>
      <c r="B5" s="8">
        <v>391866</v>
      </c>
      <c r="C5" s="8">
        <v>1724789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3" sqref="E3"/>
    </sheetView>
  </sheetViews>
  <sheetFormatPr baseColWidth="10" defaultColWidth="11.42578125" defaultRowHeight="15" x14ac:dyDescent="0.25"/>
  <cols>
    <col min="1" max="1" width="11.42578125" style="1"/>
    <col min="5" max="5" width="12.85546875" bestFit="1" customWidth="1"/>
  </cols>
  <sheetData>
    <row r="1" spans="1:11" x14ac:dyDescent="0.25">
      <c r="A1" s="86" t="s">
        <v>75</v>
      </c>
      <c r="B1" s="73" t="s">
        <v>67</v>
      </c>
      <c r="C1" s="73" t="s">
        <v>68</v>
      </c>
      <c r="D1" s="73" t="s">
        <v>69</v>
      </c>
      <c r="E1" s="84" t="s">
        <v>71</v>
      </c>
      <c r="F1" s="84" t="s">
        <v>72</v>
      </c>
      <c r="G1" s="84" t="s">
        <v>73</v>
      </c>
      <c r="H1" s="86" t="s">
        <v>76</v>
      </c>
      <c r="I1" s="86" t="s">
        <v>77</v>
      </c>
      <c r="J1" s="86" t="s">
        <v>78</v>
      </c>
      <c r="K1" s="84" t="s">
        <v>70</v>
      </c>
    </row>
    <row r="2" spans="1:11" x14ac:dyDescent="0.25">
      <c r="A2" s="87" t="s">
        <v>79</v>
      </c>
      <c r="B2" s="73">
        <v>1</v>
      </c>
      <c r="C2" s="72">
        <v>391886</v>
      </c>
      <c r="D2" s="72">
        <v>1724853</v>
      </c>
      <c r="E2">
        <f>500/10000</f>
        <v>0.05</v>
      </c>
      <c r="G2" s="85">
        <v>41306</v>
      </c>
      <c r="K2" t="s">
        <v>74</v>
      </c>
    </row>
    <row r="3" spans="1:11" x14ac:dyDescent="0.25">
      <c r="A3" s="87" t="s">
        <v>79</v>
      </c>
      <c r="B3" s="73">
        <v>2</v>
      </c>
      <c r="C3" s="72">
        <v>391962</v>
      </c>
      <c r="D3" s="72">
        <v>1724925</v>
      </c>
      <c r="E3" s="1">
        <f t="shared" ref="E3:E5" si="0">500/10000</f>
        <v>0.05</v>
      </c>
      <c r="G3" s="85">
        <v>41306</v>
      </c>
      <c r="K3" s="1" t="s">
        <v>74</v>
      </c>
    </row>
    <row r="4" spans="1:11" x14ac:dyDescent="0.25">
      <c r="A4" s="87" t="s">
        <v>79</v>
      </c>
      <c r="B4" s="73">
        <v>3</v>
      </c>
      <c r="C4" s="72">
        <v>392128</v>
      </c>
      <c r="D4" s="72">
        <v>1725101</v>
      </c>
      <c r="E4" s="1">
        <f t="shared" si="0"/>
        <v>0.05</v>
      </c>
      <c r="G4" s="85">
        <v>41306</v>
      </c>
      <c r="K4" s="1" t="s">
        <v>74</v>
      </c>
    </row>
    <row r="5" spans="1:11" x14ac:dyDescent="0.25">
      <c r="A5" s="87" t="s">
        <v>79</v>
      </c>
      <c r="B5" s="73">
        <v>4</v>
      </c>
      <c r="C5" s="72">
        <v>392203</v>
      </c>
      <c r="D5" s="72">
        <v>1725186</v>
      </c>
      <c r="E5" s="1">
        <f t="shared" si="0"/>
        <v>0.05</v>
      </c>
      <c r="G5" s="85">
        <v>41306</v>
      </c>
      <c r="K5" s="1" t="s">
        <v>74</v>
      </c>
    </row>
    <row r="6" spans="1:11" x14ac:dyDescent="0.25">
      <c r="B6" s="1"/>
      <c r="C6" s="1"/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% de abundancia</vt:lpstr>
      <vt:lpstr>cuadro 3</vt:lpstr>
      <vt:lpstr>anexo 2</vt:lpstr>
      <vt:lpstr>anexo 3</vt:lpstr>
      <vt:lpstr>analisis</vt:lpstr>
      <vt:lpstr>P. referencia</vt:lpstr>
      <vt:lpstr>Parcelas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cp:lastPrinted>2013-10-30T04:25:04Z</cp:lastPrinted>
  <dcterms:created xsi:type="dcterms:W3CDTF">2013-02-20T15:36:32Z</dcterms:created>
  <dcterms:modified xsi:type="dcterms:W3CDTF">2017-03-27T00:02:42Z</dcterms:modified>
</cp:coreProperties>
</file>