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CARBONO_REDD+GT\ASINFOR\HENRY_LOPEZ_IF_2013\"/>
    </mc:Choice>
  </mc:AlternateContent>
  <bookViews>
    <workbookView xWindow="240" yWindow="75" windowWidth="15480" windowHeight="7995" activeTab="7"/>
  </bookViews>
  <sheets>
    <sheet name="base de datos" sheetId="1" r:id="rId1"/>
    <sheet name="% de abundancia" sheetId="4" r:id="rId2"/>
    <sheet name="cuadro 3" sheetId="5" r:id="rId3"/>
    <sheet name="anexo 2" sheetId="6" r:id="rId4"/>
    <sheet name="anexo 3" sheetId="7" r:id="rId5"/>
    <sheet name="analisis" sheetId="2" r:id="rId6"/>
    <sheet name="P. referencia" sheetId="8" r:id="rId7"/>
    <sheet name="Parcelas" sheetId="9" r:id="rId8"/>
  </sheets>
  <definedNames>
    <definedName name="_xlnm._FilterDatabase" localSheetId="0" hidden="1">'base de datos'!$A$1:$L$120</definedName>
  </definedNames>
  <calcPr calcId="152511"/>
  <pivotCaches>
    <pivotCache cacheId="57" r:id="rId9"/>
  </pivotCaches>
</workbook>
</file>

<file path=xl/calcChain.xml><?xml version="1.0" encoding="utf-8"?>
<calcChain xmlns="http://schemas.openxmlformats.org/spreadsheetml/2006/main">
  <c r="E6" i="9" l="1"/>
  <c r="E5" i="9"/>
  <c r="E4" i="9"/>
  <c r="E3" i="9"/>
  <c r="E2" i="9"/>
  <c r="H95" i="1" l="1"/>
  <c r="I95" i="1" s="1"/>
  <c r="J95" i="1"/>
  <c r="K95" i="1" s="1"/>
  <c r="L95" i="1"/>
  <c r="J119" i="1"/>
  <c r="J118" i="1"/>
  <c r="J117" i="1"/>
  <c r="J116" i="1"/>
  <c r="J115" i="1"/>
  <c r="J114" i="1"/>
  <c r="J108" i="1"/>
  <c r="K108" i="1" s="1"/>
  <c r="J107" i="1"/>
  <c r="J106" i="1"/>
  <c r="K106" i="1" s="1"/>
  <c r="J105" i="1"/>
  <c r="J8" i="1"/>
  <c r="J7" i="1"/>
  <c r="J6" i="1"/>
  <c r="J5" i="1"/>
  <c r="J4" i="1"/>
  <c r="J3" i="1"/>
  <c r="J109" i="1"/>
  <c r="K107" i="1"/>
  <c r="J2" i="1"/>
  <c r="E7" i="2"/>
  <c r="E9" i="2"/>
  <c r="F16" i="4"/>
  <c r="E6" i="2"/>
  <c r="I16" i="5"/>
  <c r="E10" i="2"/>
  <c r="E8" i="2"/>
  <c r="G17" i="5"/>
  <c r="F17" i="5"/>
  <c r="H16" i="5"/>
  <c r="G16" i="5"/>
  <c r="F16" i="5"/>
  <c r="E16" i="5"/>
  <c r="E16" i="2" l="1"/>
  <c r="H6" i="2" s="1"/>
  <c r="G15" i="7"/>
  <c r="G16" i="7"/>
  <c r="G6" i="7"/>
  <c r="G7" i="7"/>
  <c r="G8" i="7"/>
  <c r="G9" i="7"/>
  <c r="G10" i="7"/>
  <c r="G11" i="7"/>
  <c r="G12" i="7"/>
  <c r="G13" i="7"/>
  <c r="G14" i="7"/>
  <c r="G5" i="7"/>
  <c r="G10" i="6"/>
  <c r="G9" i="6"/>
  <c r="G8" i="6"/>
  <c r="G7" i="6"/>
  <c r="G6" i="6"/>
  <c r="G5" i="6"/>
  <c r="D16" i="5"/>
  <c r="D15" i="5"/>
  <c r="D14" i="5"/>
  <c r="E16" i="4"/>
  <c r="E15" i="4"/>
  <c r="E14" i="4"/>
  <c r="D16" i="4"/>
  <c r="D15" i="4"/>
  <c r="D14" i="4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69" i="1"/>
  <c r="L6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3" i="1"/>
  <c r="L24" i="1"/>
  <c r="L25" i="1"/>
  <c r="L26" i="1"/>
  <c r="L27" i="1"/>
  <c r="L28" i="1"/>
  <c r="L29" i="1"/>
  <c r="L30" i="1"/>
  <c r="L31" i="1"/>
  <c r="L32" i="1"/>
  <c r="L22" i="1"/>
  <c r="L18" i="1"/>
  <c r="L19" i="1"/>
  <c r="L20" i="1"/>
  <c r="L21" i="1"/>
  <c r="L10" i="1"/>
  <c r="L11" i="1"/>
  <c r="L12" i="1"/>
  <c r="L13" i="1"/>
  <c r="L14" i="1"/>
  <c r="L15" i="1"/>
  <c r="L16" i="1"/>
  <c r="L17" i="1"/>
  <c r="L3" i="1"/>
  <c r="L4" i="1"/>
  <c r="L5" i="1"/>
  <c r="L6" i="1"/>
  <c r="L7" i="1"/>
  <c r="L8" i="1"/>
  <c r="L9" i="1"/>
  <c r="L2" i="1"/>
  <c r="J120" i="1"/>
  <c r="K120" i="1" s="1"/>
  <c r="K119" i="1"/>
  <c r="K118" i="1"/>
  <c r="K117" i="1"/>
  <c r="K116" i="1"/>
  <c r="K115" i="1"/>
  <c r="K114" i="1"/>
  <c r="J113" i="1"/>
  <c r="K113" i="1" s="1"/>
  <c r="J112" i="1"/>
  <c r="K112" i="1" s="1"/>
  <c r="J111" i="1"/>
  <c r="K111" i="1" s="1"/>
  <c r="J110" i="1"/>
  <c r="K110" i="1" s="1"/>
  <c r="K109" i="1"/>
  <c r="K105" i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J94" i="1"/>
  <c r="K94" i="1" s="1"/>
  <c r="H94" i="1"/>
  <c r="I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J68" i="1"/>
  <c r="K68" i="1" s="1"/>
  <c r="H68" i="1"/>
  <c r="I68" i="1" s="1"/>
  <c r="J22" i="1"/>
  <c r="K22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H22" i="1"/>
  <c r="I22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K2" i="1"/>
  <c r="K10" i="4"/>
  <c r="L7" i="5"/>
  <c r="F15" i="2"/>
  <c r="F14" i="2"/>
  <c r="F13" i="2"/>
  <c r="F12" i="2"/>
  <c r="F11" i="2"/>
  <c r="F10" i="2"/>
  <c r="F9" i="2"/>
  <c r="F8" i="2"/>
  <c r="F7" i="2"/>
  <c r="F6" i="2"/>
  <c r="H3" i="1"/>
  <c r="I3" i="1" s="1"/>
  <c r="K3" i="1"/>
  <c r="H4" i="1"/>
  <c r="I4" i="1" s="1"/>
  <c r="K4" i="1"/>
  <c r="H5" i="1"/>
  <c r="I5" i="1" s="1"/>
  <c r="K5" i="1"/>
  <c r="H6" i="1"/>
  <c r="I6" i="1" s="1"/>
  <c r="K6" i="1"/>
  <c r="H7" i="1"/>
  <c r="I7" i="1" s="1"/>
  <c r="K7" i="1"/>
  <c r="H8" i="1"/>
  <c r="I8" i="1" s="1"/>
  <c r="K8" i="1"/>
  <c r="H9" i="1"/>
  <c r="I9" i="1" s="1"/>
  <c r="J9" i="1"/>
  <c r="K9" i="1" s="1"/>
  <c r="H18" i="1"/>
  <c r="I18" i="1" s="1"/>
  <c r="J18" i="1"/>
  <c r="K18" i="1" s="1"/>
  <c r="H19" i="1"/>
  <c r="I19" i="1" s="1"/>
  <c r="J19" i="1"/>
  <c r="K19" i="1" s="1"/>
  <c r="H20" i="1"/>
  <c r="I20" i="1" s="1"/>
  <c r="J20" i="1"/>
  <c r="K20" i="1" s="1"/>
  <c r="H21" i="1"/>
  <c r="I21" i="1" s="1"/>
  <c r="J21" i="1"/>
  <c r="K21" i="1" s="1"/>
  <c r="H23" i="1"/>
  <c r="I23" i="1" s="1"/>
  <c r="J23" i="1"/>
  <c r="K23" i="1" s="1"/>
  <c r="H24" i="1"/>
  <c r="I24" i="1" s="1"/>
  <c r="J24" i="1"/>
  <c r="K24" i="1" s="1"/>
  <c r="H25" i="1"/>
  <c r="I25" i="1" s="1"/>
  <c r="J25" i="1"/>
  <c r="K25" i="1" s="1"/>
  <c r="H26" i="1"/>
  <c r="I26" i="1" s="1"/>
  <c r="J26" i="1"/>
  <c r="K26" i="1" s="1"/>
  <c r="H27" i="1"/>
  <c r="I27" i="1" s="1"/>
  <c r="J27" i="1"/>
  <c r="K27" i="1" s="1"/>
  <c r="H28" i="1"/>
  <c r="I28" i="1" s="1"/>
  <c r="J28" i="1"/>
  <c r="K28" i="1" s="1"/>
  <c r="H29" i="1"/>
  <c r="I29" i="1" s="1"/>
  <c r="J29" i="1"/>
  <c r="K29" i="1" s="1"/>
  <c r="H30" i="1"/>
  <c r="I30" i="1" s="1"/>
  <c r="J30" i="1"/>
  <c r="K30" i="1" s="1"/>
  <c r="H31" i="1"/>
  <c r="I31" i="1" s="1"/>
  <c r="J31" i="1"/>
  <c r="K31" i="1" s="1"/>
  <c r="H32" i="1"/>
  <c r="I32" i="1" s="1"/>
  <c r="J32" i="1"/>
  <c r="K32" i="1" s="1"/>
  <c r="H49" i="1"/>
  <c r="I49" i="1" s="1"/>
  <c r="J49" i="1"/>
  <c r="K49" i="1" s="1"/>
  <c r="H50" i="1"/>
  <c r="I50" i="1" s="1"/>
  <c r="J50" i="1"/>
  <c r="K50" i="1" s="1"/>
  <c r="H51" i="1"/>
  <c r="I51" i="1" s="1"/>
  <c r="J51" i="1"/>
  <c r="K51" i="1" s="1"/>
  <c r="H52" i="1"/>
  <c r="I52" i="1" s="1"/>
  <c r="J52" i="1"/>
  <c r="K52" i="1" s="1"/>
  <c r="H53" i="1"/>
  <c r="I53" i="1" s="1"/>
  <c r="J53" i="1"/>
  <c r="K53" i="1" s="1"/>
  <c r="H54" i="1"/>
  <c r="I54" i="1" s="1"/>
  <c r="J54" i="1"/>
  <c r="K54" i="1" s="1"/>
  <c r="H55" i="1"/>
  <c r="I55" i="1" s="1"/>
  <c r="J55" i="1"/>
  <c r="K55" i="1" s="1"/>
  <c r="H56" i="1"/>
  <c r="I56" i="1" s="1"/>
  <c r="J56" i="1"/>
  <c r="K56" i="1" s="1"/>
  <c r="H57" i="1"/>
  <c r="I57" i="1" s="1"/>
  <c r="J57" i="1"/>
  <c r="K57" i="1" s="1"/>
  <c r="H58" i="1"/>
  <c r="I58" i="1" s="1"/>
  <c r="J58" i="1"/>
  <c r="K58" i="1" s="1"/>
  <c r="H59" i="1"/>
  <c r="I59" i="1" s="1"/>
  <c r="J59" i="1"/>
  <c r="K59" i="1" s="1"/>
  <c r="H60" i="1"/>
  <c r="I60" i="1" s="1"/>
  <c r="J60" i="1"/>
  <c r="K60" i="1" s="1"/>
  <c r="H61" i="1"/>
  <c r="I61" i="1" s="1"/>
  <c r="J61" i="1"/>
  <c r="K61" i="1" s="1"/>
  <c r="H62" i="1"/>
  <c r="I62" i="1" s="1"/>
  <c r="J62" i="1"/>
  <c r="K62" i="1" s="1"/>
  <c r="H63" i="1"/>
  <c r="I63" i="1" s="1"/>
  <c r="J63" i="1"/>
  <c r="K63" i="1" s="1"/>
  <c r="H64" i="1"/>
  <c r="I64" i="1" s="1"/>
  <c r="J64" i="1"/>
  <c r="K64" i="1" s="1"/>
  <c r="H65" i="1"/>
  <c r="I65" i="1" s="1"/>
  <c r="J65" i="1"/>
  <c r="K65" i="1" s="1"/>
  <c r="H66" i="1"/>
  <c r="I66" i="1" s="1"/>
  <c r="J66" i="1"/>
  <c r="K66" i="1" s="1"/>
  <c r="H67" i="1"/>
  <c r="I67" i="1" s="1"/>
  <c r="J67" i="1"/>
  <c r="K67" i="1" s="1"/>
  <c r="H69" i="1"/>
  <c r="I69" i="1" s="1"/>
  <c r="J69" i="1"/>
  <c r="K69" i="1" s="1"/>
  <c r="H2" i="1"/>
  <c r="I2" i="1" s="1"/>
  <c r="F14" i="5"/>
  <c r="E15" i="5"/>
  <c r="H15" i="5"/>
  <c r="F15" i="5"/>
  <c r="H14" i="5"/>
  <c r="G14" i="5"/>
  <c r="I15" i="5"/>
  <c r="G15" i="5"/>
  <c r="E14" i="5"/>
  <c r="F15" i="4"/>
  <c r="F14" i="4"/>
  <c r="I14" i="5"/>
  <c r="F17" i="4" l="1"/>
  <c r="G17" i="4" s="1"/>
  <c r="F16" i="2"/>
  <c r="H7" i="2" s="1"/>
  <c r="H9" i="2" s="1"/>
  <c r="H10" i="2" s="1"/>
  <c r="H11" i="2" s="1"/>
  <c r="E17" i="5"/>
  <c r="H17" i="5"/>
  <c r="I17" i="5"/>
  <c r="J17" i="5" s="1"/>
  <c r="J14" i="5"/>
  <c r="J15" i="5"/>
  <c r="J16" i="5"/>
  <c r="G14" i="4" l="1"/>
  <c r="G15" i="4"/>
  <c r="H8" i="2"/>
  <c r="G16" i="4"/>
  <c r="H13" i="2"/>
  <c r="H12" i="2"/>
</calcChain>
</file>

<file path=xl/sharedStrings.xml><?xml version="1.0" encoding="utf-8"?>
<sst xmlns="http://schemas.openxmlformats.org/spreadsheetml/2006/main" count="477" uniqueCount="74">
  <si>
    <t>Parcela</t>
  </si>
  <si>
    <t>No. Arbol</t>
  </si>
  <si>
    <t>Nombre común</t>
  </si>
  <si>
    <t>Especie</t>
  </si>
  <si>
    <t>Clase diámetrica</t>
  </si>
  <si>
    <t>DAP (cm)</t>
  </si>
  <si>
    <t>Altura (m)</t>
  </si>
  <si>
    <t>Area Basal (m2)</t>
  </si>
  <si>
    <t>AB/Ha.</t>
  </si>
  <si>
    <t>Volumen (m3)</t>
  </si>
  <si>
    <t>Volumen/Ha.</t>
  </si>
  <si>
    <t>Densidad/Ha.</t>
  </si>
  <si>
    <t>Rótulos de fila</t>
  </si>
  <si>
    <t>Total general</t>
  </si>
  <si>
    <t>Cuenta de No. Arbol</t>
  </si>
  <si>
    <t>Suma de Densidad/Ha.</t>
  </si>
  <si>
    <t>Valores</t>
  </si>
  <si>
    <t>Promedio de DAP (cm)</t>
  </si>
  <si>
    <t>Promedio de Altura (m)</t>
  </si>
  <si>
    <t>Suma de AB/Ha.</t>
  </si>
  <si>
    <t>Suma de Volumen/Ha.</t>
  </si>
  <si>
    <t>No.</t>
  </si>
  <si>
    <t>NOMBRE COMUN</t>
  </si>
  <si>
    <t>ESPECIE</t>
  </si>
  <si>
    <t>PRESENCIA</t>
  </si>
  <si>
    <t>% DE ABUNDANCIA</t>
  </si>
  <si>
    <t>Total General</t>
  </si>
  <si>
    <t>Rodal</t>
  </si>
  <si>
    <t>Área (has)</t>
  </si>
  <si>
    <r>
      <t>Volumen m</t>
    </r>
    <r>
      <rPr>
        <b/>
        <sz val="11"/>
        <color theme="1"/>
        <rFont val="Calibri"/>
        <family val="2"/>
      </rPr>
      <t>³</t>
    </r>
  </si>
  <si>
    <t>Ha.</t>
  </si>
  <si>
    <t>Volumen/ Rodal</t>
  </si>
  <si>
    <t>No. De Parcela</t>
  </si>
  <si>
    <t>Volumen Total</t>
  </si>
  <si>
    <t>Especie y Clase Diametrica</t>
  </si>
  <si>
    <t>ANALISIS ESTADISTICO</t>
  </si>
  <si>
    <t>AREA (Ha.)</t>
  </si>
  <si>
    <t>VALOR DE T</t>
  </si>
  <si>
    <t>No. PARCELAS</t>
  </si>
  <si>
    <t>PARCELA</t>
  </si>
  <si>
    <t>VOLUMEN/ha</t>
  </si>
  <si>
    <t>(VOLUMEN)²</t>
  </si>
  <si>
    <t>PARAMETRO</t>
  </si>
  <si>
    <t>RESULTADO</t>
  </si>
  <si>
    <t>MEDIA ARITMETICA</t>
  </si>
  <si>
    <t xml:space="preserve">VARIANZA </t>
  </si>
  <si>
    <t>DESVIACION ESTANDAR</t>
  </si>
  <si>
    <t>ERROR ESTANDAR</t>
  </si>
  <si>
    <t>ERROR DE MUESTREO</t>
  </si>
  <si>
    <t xml:space="preserve">LIMITE SUPERIOR </t>
  </si>
  <si>
    <t>LIMITE INFERIOR</t>
  </si>
  <si>
    <t>TOTAL</t>
  </si>
  <si>
    <t>10 - 19.9</t>
  </si>
  <si>
    <t>20 - 29.9</t>
  </si>
  <si>
    <t>Aliso</t>
  </si>
  <si>
    <t>Alnus sp.</t>
  </si>
  <si>
    <t>Cipres</t>
  </si>
  <si>
    <t>Canac</t>
  </si>
  <si>
    <t>Cupressus lisitanica</t>
  </si>
  <si>
    <t>30 - 39.9</t>
  </si>
  <si>
    <t>Chiranthodendron pentadactylon</t>
  </si>
  <si>
    <t>Ciprés</t>
  </si>
  <si>
    <t>X</t>
  </si>
  <si>
    <t>Y</t>
  </si>
  <si>
    <t>AREA PARCELA</t>
  </si>
  <si>
    <t>AREATA TOTAL</t>
  </si>
  <si>
    <t>FECHA</t>
  </si>
  <si>
    <t>PROPIETARIO</t>
  </si>
  <si>
    <t>Micaela Bautista López</t>
  </si>
  <si>
    <t>BASE_DATOS</t>
  </si>
  <si>
    <t>AÑO</t>
  </si>
  <si>
    <t>MUNICIPIO</t>
  </si>
  <si>
    <t>DEPTO</t>
  </si>
  <si>
    <t>BD9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</si>
</sst>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m³&quot;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2" xfId="0" applyNumberForma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/>
    <xf numFmtId="0" fontId="2" fillId="4" borderId="2" xfId="0" applyFont="1" applyFill="1" applyBorder="1" applyAlignment="1">
      <alignment horizontal="left"/>
    </xf>
    <xf numFmtId="1" fontId="2" fillId="4" borderId="2" xfId="0" applyNumberFormat="1" applyFont="1" applyFill="1" applyBorder="1"/>
    <xf numFmtId="2" fontId="2" fillId="4" borderId="2" xfId="0" applyNumberFormat="1" applyFont="1" applyFill="1" applyBorder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5" borderId="2" xfId="0" applyFont="1" applyFill="1" applyBorder="1"/>
    <xf numFmtId="1" fontId="2" fillId="5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3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1" fontId="0" fillId="5" borderId="2" xfId="0" applyNumberFormat="1" applyFill="1" applyBorder="1" applyAlignment="1">
      <alignment horizontal="center" wrapText="1"/>
    </xf>
    <xf numFmtId="2" fontId="0" fillId="5" borderId="2" xfId="0" applyNumberFormat="1" applyFill="1" applyBorder="1" applyAlignment="1">
      <alignment horizontal="center" wrapText="1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5" fillId="7" borderId="2" xfId="1" applyFont="1" applyFill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165" fontId="6" fillId="0" borderId="2" xfId="1" applyNumberFormat="1" applyFont="1" applyBorder="1" applyAlignment="1">
      <alignment horizontal="right"/>
    </xf>
    <xf numFmtId="164" fontId="6" fillId="0" borderId="2" xfId="1" applyNumberFormat="1" applyFont="1" applyBorder="1" applyAlignment="1">
      <alignment horizontal="right"/>
    </xf>
    <xf numFmtId="2" fontId="0" fillId="0" borderId="2" xfId="0" applyNumberFormat="1" applyFill="1" applyBorder="1" applyAlignment="1">
      <alignment horizontal="center" vertical="center"/>
    </xf>
    <xf numFmtId="10" fontId="6" fillId="8" borderId="2" xfId="2" applyNumberFormat="1" applyFont="1" applyFill="1" applyBorder="1" applyAlignment="1">
      <alignment horizontal="right"/>
    </xf>
    <xf numFmtId="164" fontId="6" fillId="0" borderId="2" xfId="1" applyNumberFormat="1" applyFon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2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left"/>
    </xf>
    <xf numFmtId="2" fontId="0" fillId="5" borderId="3" xfId="0" applyNumberForma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7" fontId="0" fillId="0" borderId="0" xfId="0" applyNumberFormat="1"/>
    <xf numFmtId="0" fontId="7" fillId="9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3">
    <cellStyle name="Normal" xfId="0" builtinId="0"/>
    <cellStyle name="Normal 2" xfId="1"/>
    <cellStyle name="Porcentaje 2" xfId="2"/>
  </cellStyles>
  <dxfs count="39"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numFmt numFmtId="2" formatCode="0.00"/>
    </dxf>
    <dxf>
      <numFmt numFmtId="1" formatCode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final" refreshedDate="41773.569115393519" createdVersion="3" refreshedVersion="3" minRefreshableVersion="3" recordCount="119">
  <cacheSource type="worksheet">
    <worksheetSource ref="A1:L120" sheet="base de datos"/>
  </cacheSource>
  <cacheFields count="12">
    <cacheField name="Parcela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o. Arbol" numFmtId="0">
      <sharedItems containsSemiMixedTypes="0" containsString="0" containsNumber="1" containsInteger="1" minValue="1" maxValue="26"/>
    </cacheField>
    <cacheField name="Nombre común" numFmtId="0">
      <sharedItems count="4">
        <s v="Cipres"/>
        <s v="Aliso"/>
        <s v="Canac"/>
        <s v="Pino" u="1"/>
      </sharedItems>
    </cacheField>
    <cacheField name="Especie" numFmtId="0">
      <sharedItems count="5">
        <s v="Cupressus lisitanica"/>
        <s v="Alnus sp."/>
        <s v="Chiranthodendron pentadactylon"/>
        <s v="Pinus sp." u="1"/>
        <s v="Quiranthodendron pentadactylon" u="1"/>
      </sharedItems>
    </cacheField>
    <cacheField name="Clase diámetrica" numFmtId="0">
      <sharedItems count="3">
        <s v="30 - 39.9"/>
        <s v="10 - 19.9"/>
        <s v="20 - 29.9"/>
      </sharedItems>
    </cacheField>
    <cacheField name="DAP (cm)" numFmtId="0">
      <sharedItems containsSemiMixedTypes="0" containsString="0" containsNumber="1" containsInteger="1" minValue="10" maxValue="35"/>
    </cacheField>
    <cacheField name="Altura (m)" numFmtId="0">
      <sharedItems containsSemiMixedTypes="0" containsString="0" containsNumber="1" containsInteger="1" minValue="5" maxValue="17"/>
    </cacheField>
    <cacheField name="Area Basal (m2)" numFmtId="2">
      <sharedItems containsSemiMixedTypes="0" containsString="0" containsNumber="1" minValue="7.8540000000000016E-3" maxValue="9.6211499999999991E-2"/>
    </cacheField>
    <cacheField name="AB/Ha." numFmtId="2">
      <sharedItems containsSemiMixedTypes="0" containsString="0" containsNumber="1" minValue="3.9270000000000006E-2" maxValue="0.57020040000000005"/>
    </cacheField>
    <cacheField name="Volumen (m3)" numFmtId="2">
      <sharedItems containsSemiMixedTypes="0" containsString="0" containsNumber="1" minValue="5.9264017799999999E-2" maxValue="0.77862035100000004"/>
    </cacheField>
    <cacheField name="Volumen/Ha." numFmtId="2">
      <sharedItems containsSemiMixedTypes="0" containsString="0" containsNumber="1" minValue="0.39509345200000001" maxValue="5.1908023400000003"/>
    </cacheField>
    <cacheField name="Densidad/Ha." numFmtId="2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n v="1"/>
    <x v="0"/>
    <x v="0"/>
    <x v="0"/>
    <n v="35"/>
    <n v="17"/>
    <n v="9.6211499999999991E-2"/>
    <n v="0.48105749999999992"/>
    <n v="0.61558674719999995"/>
    <n v="4.1039116479999995"/>
    <n v="4"/>
  </r>
  <r>
    <x v="0"/>
    <n v="2"/>
    <x v="0"/>
    <x v="0"/>
    <x v="1"/>
    <n v="17"/>
    <n v="12"/>
    <n v="2.2698060000000003E-2"/>
    <n v="0.1134903"/>
    <n v="0.1137368634"/>
    <n v="0.75824575599999999"/>
    <n v="4"/>
  </r>
  <r>
    <x v="0"/>
    <n v="3"/>
    <x v="0"/>
    <x v="0"/>
    <x v="2"/>
    <n v="20"/>
    <n v="14"/>
    <n v="3.1416000000000006E-2"/>
    <n v="0.15708000000000003"/>
    <n v="0.17538023220000001"/>
    <n v="1.1692015480000002"/>
    <n v="4"/>
  </r>
  <r>
    <x v="0"/>
    <n v="4"/>
    <x v="0"/>
    <x v="0"/>
    <x v="1"/>
    <n v="18"/>
    <n v="12"/>
    <n v="2.5446959999999998E-2"/>
    <n v="0.12723479999999998"/>
    <n v="0.12588049139999999"/>
    <n v="0.839203276"/>
    <n v="4"/>
  </r>
  <r>
    <x v="0"/>
    <n v="5"/>
    <x v="0"/>
    <x v="0"/>
    <x v="2"/>
    <n v="22"/>
    <n v="16"/>
    <n v="3.8013359999999996E-2"/>
    <n v="0.19006679999999998"/>
    <n v="0.23737056179999999"/>
    <n v="1.5824704119999999"/>
    <n v="4"/>
  </r>
  <r>
    <x v="0"/>
    <n v="6"/>
    <x v="0"/>
    <x v="0"/>
    <x v="1"/>
    <n v="18"/>
    <n v="13"/>
    <n v="2.5446959999999998E-2"/>
    <n v="0.12723479999999998"/>
    <n v="0.135248433"/>
    <n v="0.90165622000000001"/>
    <n v="4"/>
  </r>
  <r>
    <x v="0"/>
    <n v="7"/>
    <x v="0"/>
    <x v="0"/>
    <x v="1"/>
    <n v="17"/>
    <n v="10"/>
    <n v="2.2698060000000003E-2"/>
    <n v="0.1134903"/>
    <n v="9.7024918200000004E-2"/>
    <n v="0.6468327880000001"/>
    <n v="4"/>
  </r>
  <r>
    <x v="0"/>
    <n v="8"/>
    <x v="1"/>
    <x v="1"/>
    <x v="1"/>
    <n v="13"/>
    <n v="7"/>
    <n v="1.3273260000000002E-2"/>
    <n v="6.6366300000000003E-2"/>
    <n v="0.16334558300000002"/>
    <n v="1.0889705533333336"/>
    <n v="4"/>
  </r>
  <r>
    <x v="0"/>
    <n v="9"/>
    <x v="1"/>
    <x v="1"/>
    <x v="1"/>
    <n v="19"/>
    <n v="12"/>
    <n v="2.835294E-2"/>
    <n v="0.14176469999999999"/>
    <n v="0.309770934"/>
    <n v="2.06513956"/>
    <n v="4"/>
  </r>
  <r>
    <x v="0"/>
    <n v="10"/>
    <x v="1"/>
    <x v="1"/>
    <x v="2"/>
    <n v="21"/>
    <n v="12"/>
    <n v="3.4636139999999996E-2"/>
    <n v="0.17318069999999997"/>
    <n v="0.35440997400000002"/>
    <n v="2.3627331600000003"/>
    <n v="4"/>
  </r>
  <r>
    <x v="0"/>
    <n v="11"/>
    <x v="1"/>
    <x v="1"/>
    <x v="2"/>
    <n v="25"/>
    <n v="14"/>
    <n v="4.9087499999999999E-2"/>
    <n v="0.24543749999999998"/>
    <n v="0.51520351600000003"/>
    <n v="3.4346901066666669"/>
    <n v="4"/>
  </r>
  <r>
    <x v="0"/>
    <n v="12"/>
    <x v="2"/>
    <x v="2"/>
    <x v="2"/>
    <n v="24"/>
    <n v="10"/>
    <n v="4.5239040000000001E-2"/>
    <n v="0.22619519999999999"/>
    <n v="0.37617150599999999"/>
    <n v="2.5078100399999999"/>
    <n v="4"/>
  </r>
  <r>
    <x v="0"/>
    <n v="13"/>
    <x v="2"/>
    <x v="2"/>
    <x v="1"/>
    <n v="16"/>
    <n v="8"/>
    <n v="2.0106240000000001E-2"/>
    <n v="0.1005312"/>
    <n v="0.20356721799999999"/>
    <n v="1.3571147866666666"/>
    <n v="4"/>
  </r>
  <r>
    <x v="0"/>
    <n v="14"/>
    <x v="1"/>
    <x v="1"/>
    <x v="1"/>
    <n v="15"/>
    <n v="5"/>
    <n v="1.76715E-2"/>
    <n v="8.8357499999999992E-2"/>
    <n v="0.16064864100000001"/>
    <n v="1.0709909400000002"/>
    <n v="4"/>
  </r>
  <r>
    <x v="0"/>
    <n v="15"/>
    <x v="1"/>
    <x v="1"/>
    <x v="1"/>
    <n v="14"/>
    <n v="6"/>
    <n v="1.5393840000000002E-2"/>
    <n v="7.6969200000000002E-2"/>
    <n v="0.16302009000000001"/>
    <n v="1.0868006000000001"/>
    <n v="4"/>
  </r>
  <r>
    <x v="0"/>
    <n v="16"/>
    <x v="1"/>
    <x v="1"/>
    <x v="1"/>
    <n v="19"/>
    <n v="10"/>
    <n v="2.835294E-2"/>
    <n v="0.14176469999999999"/>
    <n v="0.27619865599999999"/>
    <n v="1.8413243733333333"/>
    <n v="4"/>
  </r>
  <r>
    <x v="0"/>
    <n v="17"/>
    <x v="1"/>
    <x v="1"/>
    <x v="1"/>
    <n v="17"/>
    <n v="8"/>
    <n v="2.2698060000000003E-2"/>
    <n v="0.1134903"/>
    <n v="0.215842954"/>
    <n v="1.4389530266666668"/>
    <n v="4"/>
  </r>
  <r>
    <x v="0"/>
    <n v="18"/>
    <x v="1"/>
    <x v="1"/>
    <x v="1"/>
    <n v="14"/>
    <n v="7"/>
    <n v="1.5393840000000002E-2"/>
    <n v="7.6969200000000002E-2"/>
    <n v="0.17213389400000001"/>
    <n v="1.1475592933333334"/>
    <n v="4"/>
  </r>
  <r>
    <x v="0"/>
    <n v="19"/>
    <x v="1"/>
    <x v="1"/>
    <x v="1"/>
    <n v="18"/>
    <n v="9"/>
    <n v="2.5446959999999998E-2"/>
    <n v="0.12723479999999998"/>
    <n v="0.24392835000000002"/>
    <n v="1.6261890000000001"/>
    <n v="4"/>
  </r>
  <r>
    <x v="0"/>
    <n v="20"/>
    <x v="1"/>
    <x v="1"/>
    <x v="1"/>
    <n v="10"/>
    <n v="5"/>
    <n v="7.8540000000000016E-3"/>
    <n v="3.9270000000000006E-2"/>
    <n v="0.13158676599999999"/>
    <n v="0.87724510666666666"/>
    <n v="4"/>
  </r>
  <r>
    <x v="0"/>
    <n v="21"/>
    <x v="1"/>
    <x v="1"/>
    <x v="1"/>
    <n v="14"/>
    <n v="6"/>
    <n v="1.5393840000000002E-2"/>
    <n v="7.6969200000000002E-2"/>
    <n v="0.16302009000000001"/>
    <n v="1.0868006000000001"/>
    <n v="4"/>
  </r>
  <r>
    <x v="1"/>
    <n v="1"/>
    <x v="1"/>
    <x v="1"/>
    <x v="2"/>
    <n v="24"/>
    <n v="13"/>
    <n v="4.5239040000000001E-2"/>
    <n v="0.30159360000000002"/>
    <n v="0.45652177799999999"/>
    <n v="3.0434785199999999"/>
    <n v="4"/>
  </r>
  <r>
    <x v="1"/>
    <n v="2"/>
    <x v="1"/>
    <x v="1"/>
    <x v="1"/>
    <n v="16"/>
    <n v="10"/>
    <n v="2.0106240000000001E-2"/>
    <n v="0.13404160000000001"/>
    <n v="0.22737470600000001"/>
    <n v="1.5158313733333335"/>
    <n v="4"/>
  </r>
  <r>
    <x v="1"/>
    <n v="3"/>
    <x v="1"/>
    <x v="1"/>
    <x v="2"/>
    <n v="24"/>
    <n v="15"/>
    <n v="4.5239040000000001E-2"/>
    <n v="0.30159360000000002"/>
    <n v="0.51008862600000004"/>
    <n v="3.4005908400000004"/>
    <n v="4"/>
  </r>
  <r>
    <x v="1"/>
    <n v="4"/>
    <x v="1"/>
    <x v="1"/>
    <x v="1"/>
    <n v="17"/>
    <n v="9"/>
    <n v="2.2698060000000003E-2"/>
    <n v="0.15132040000000002"/>
    <n v="0.22928116500000001"/>
    <n v="1.5285411000000002"/>
    <n v="4"/>
  </r>
  <r>
    <x v="1"/>
    <n v="5"/>
    <x v="1"/>
    <x v="1"/>
    <x v="1"/>
    <n v="12"/>
    <n v="5"/>
    <n v="1.130976E-2"/>
    <n v="7.5398400000000004E-2"/>
    <n v="0.14181654599999999"/>
    <n v="0.94544363999999992"/>
    <n v="4"/>
  </r>
  <r>
    <x v="1"/>
    <n v="6"/>
    <x v="1"/>
    <x v="1"/>
    <x v="1"/>
    <n v="16"/>
    <n v="7"/>
    <n v="2.0106240000000001E-2"/>
    <n v="0.13404160000000001"/>
    <n v="0.191663474"/>
    <n v="1.2777564933333334"/>
    <n v="4"/>
  </r>
  <r>
    <x v="1"/>
    <n v="7"/>
    <x v="1"/>
    <x v="1"/>
    <x v="1"/>
    <n v="14"/>
    <n v="6"/>
    <n v="1.5393840000000002E-2"/>
    <n v="0.10262560000000003"/>
    <n v="0.16302009000000001"/>
    <n v="1.0868006000000001"/>
    <n v="4"/>
  </r>
  <r>
    <x v="1"/>
    <n v="8"/>
    <x v="1"/>
    <x v="1"/>
    <x v="1"/>
    <n v="12"/>
    <n v="5"/>
    <n v="1.130976E-2"/>
    <n v="7.5398400000000004E-2"/>
    <n v="0.14181654599999999"/>
    <n v="0.94544363999999992"/>
    <n v="4"/>
  </r>
  <r>
    <x v="1"/>
    <n v="9"/>
    <x v="1"/>
    <x v="1"/>
    <x v="1"/>
    <n v="16"/>
    <n v="7"/>
    <n v="2.0106240000000001E-2"/>
    <n v="0.13404160000000001"/>
    <n v="0.191663474"/>
    <n v="1.2777564933333334"/>
    <n v="4"/>
  </r>
  <r>
    <x v="1"/>
    <n v="10"/>
    <x v="1"/>
    <x v="1"/>
    <x v="1"/>
    <n v="17"/>
    <n v="9"/>
    <n v="2.2698060000000003E-2"/>
    <n v="0.15132040000000002"/>
    <n v="0.22928116500000001"/>
    <n v="1.5285411000000002"/>
    <n v="4"/>
  </r>
  <r>
    <x v="1"/>
    <n v="11"/>
    <x v="1"/>
    <x v="1"/>
    <x v="1"/>
    <n v="12"/>
    <n v="5"/>
    <n v="1.130976E-2"/>
    <n v="7.5398400000000004E-2"/>
    <n v="0.14181654599999999"/>
    <n v="0.94544363999999992"/>
    <n v="4"/>
  </r>
  <r>
    <x v="1"/>
    <n v="12"/>
    <x v="1"/>
    <x v="1"/>
    <x v="1"/>
    <n v="13"/>
    <n v="6"/>
    <n v="1.3273260000000002E-2"/>
    <n v="8.8488400000000023E-2"/>
    <n v="0.15548725200000002"/>
    <n v="1.0365816800000003"/>
    <n v="4"/>
  </r>
  <r>
    <x v="1"/>
    <n v="13"/>
    <x v="1"/>
    <x v="1"/>
    <x v="1"/>
    <n v="14"/>
    <n v="7"/>
    <n v="1.5393840000000002E-2"/>
    <n v="0.10262560000000003"/>
    <n v="0.17213389400000001"/>
    <n v="1.1475592933333334"/>
    <n v="4"/>
  </r>
  <r>
    <x v="1"/>
    <n v="14"/>
    <x v="1"/>
    <x v="1"/>
    <x v="1"/>
    <n v="15"/>
    <n v="7"/>
    <n v="1.76715E-2"/>
    <n v="0.11781"/>
    <n v="0.18157319100000002"/>
    <n v="1.2104879400000002"/>
    <n v="4"/>
  </r>
  <r>
    <x v="1"/>
    <n v="15"/>
    <x v="1"/>
    <x v="1"/>
    <x v="1"/>
    <n v="14"/>
    <n v="7"/>
    <n v="1.5393840000000002E-2"/>
    <n v="0.10262560000000003"/>
    <n v="0.17213389400000001"/>
    <n v="1.1475592933333334"/>
    <n v="4"/>
  </r>
  <r>
    <x v="1"/>
    <n v="16"/>
    <x v="1"/>
    <x v="1"/>
    <x v="1"/>
    <n v="13"/>
    <n v="6"/>
    <n v="1.3273260000000002E-2"/>
    <n v="8.8488400000000023E-2"/>
    <n v="0.15548725200000002"/>
    <n v="1.0365816800000003"/>
    <n v="4"/>
  </r>
  <r>
    <x v="1"/>
    <n v="17"/>
    <x v="1"/>
    <x v="1"/>
    <x v="1"/>
    <n v="17"/>
    <n v="8"/>
    <n v="2.2698060000000003E-2"/>
    <n v="0.15132040000000002"/>
    <n v="0.215842954"/>
    <n v="1.4389530266666668"/>
    <n v="4"/>
  </r>
  <r>
    <x v="1"/>
    <n v="18"/>
    <x v="1"/>
    <x v="1"/>
    <x v="2"/>
    <n v="21"/>
    <n v="10"/>
    <n v="3.4636139999999996E-2"/>
    <n v="0.23090759999999999"/>
    <n v="0.31339785600000003"/>
    <n v="2.0893190400000003"/>
    <n v="4"/>
  </r>
  <r>
    <x v="1"/>
    <n v="19"/>
    <x v="1"/>
    <x v="1"/>
    <x v="2"/>
    <n v="22"/>
    <n v="10"/>
    <n v="3.8013359999999996E-2"/>
    <n v="0.25342239999999999"/>
    <n v="0.33339242600000002"/>
    <n v="2.2226161733333334"/>
    <n v="4"/>
  </r>
  <r>
    <x v="1"/>
    <n v="20"/>
    <x v="1"/>
    <x v="1"/>
    <x v="2"/>
    <n v="20"/>
    <n v="10"/>
    <n v="3.1416000000000006E-2"/>
    <n v="0.20944000000000004"/>
    <n v="0.29433326600000004"/>
    <n v="1.9622217733333336"/>
    <n v="4"/>
  </r>
  <r>
    <x v="1"/>
    <n v="21"/>
    <x v="1"/>
    <x v="1"/>
    <x v="1"/>
    <n v="18"/>
    <n v="10"/>
    <n v="2.5446959999999998E-2"/>
    <n v="0.1696464"/>
    <n v="0.25899402599999999"/>
    <n v="1.72662684"/>
    <n v="4"/>
  </r>
  <r>
    <x v="1"/>
    <n v="22"/>
    <x v="1"/>
    <x v="1"/>
    <x v="1"/>
    <n v="18"/>
    <n v="10"/>
    <n v="2.5446959999999998E-2"/>
    <n v="0.1696464"/>
    <n v="0.25899402599999999"/>
    <n v="1.72662684"/>
    <n v="4"/>
  </r>
  <r>
    <x v="1"/>
    <n v="23"/>
    <x v="1"/>
    <x v="1"/>
    <x v="0"/>
    <n v="31"/>
    <n v="15"/>
    <n v="7.5476940000000006E-2"/>
    <n v="0.50317960000000006"/>
    <n v="0.77862035100000004"/>
    <n v="5.1908023400000003"/>
    <n v="4"/>
  </r>
  <r>
    <x v="1"/>
    <n v="24"/>
    <x v="1"/>
    <x v="1"/>
    <x v="1"/>
    <n v="18"/>
    <n v="8"/>
    <n v="2.5446959999999998E-2"/>
    <n v="0.1696464"/>
    <n v="0.22886267400000002"/>
    <n v="1.5257511600000002"/>
    <n v="4"/>
  </r>
  <r>
    <x v="1"/>
    <n v="25"/>
    <x v="1"/>
    <x v="1"/>
    <x v="2"/>
    <n v="27"/>
    <n v="9"/>
    <n v="5.7255660000000007E-2"/>
    <n v="0.38170440000000005"/>
    <n v="0.41341720500000001"/>
    <n v="2.7561147000000004"/>
    <n v="4"/>
  </r>
  <r>
    <x v="1"/>
    <n v="26"/>
    <x v="1"/>
    <x v="1"/>
    <x v="1"/>
    <n v="16"/>
    <n v="10"/>
    <n v="2.0106240000000001E-2"/>
    <n v="0.13404160000000001"/>
    <n v="0.22737470600000001"/>
    <n v="1.5158313733333335"/>
    <n v="4"/>
  </r>
  <r>
    <x v="2"/>
    <n v="1"/>
    <x v="1"/>
    <x v="1"/>
    <x v="2"/>
    <n v="26"/>
    <n v="8"/>
    <n v="5.3093040000000008E-2"/>
    <n v="0.35395360000000009"/>
    <n v="0.35980385800000003"/>
    <n v="2.3986923866666672"/>
    <n v="4"/>
  </r>
  <r>
    <x v="2"/>
    <n v="2"/>
    <x v="1"/>
    <x v="1"/>
    <x v="2"/>
    <n v="29"/>
    <n v="9"/>
    <n v="6.6052139999999995E-2"/>
    <n v="0.44034760000000001"/>
    <n v="0.46028819700000001"/>
    <n v="3.0685879800000002"/>
    <n v="4"/>
  </r>
  <r>
    <x v="2"/>
    <n v="3"/>
    <x v="1"/>
    <x v="1"/>
    <x v="1"/>
    <n v="15"/>
    <n v="8"/>
    <n v="1.76715E-2"/>
    <n v="0.11781"/>
    <n v="0.19203546599999999"/>
    <n v="1.2802364399999999"/>
    <n v="4"/>
  </r>
  <r>
    <x v="2"/>
    <n v="4"/>
    <x v="1"/>
    <x v="1"/>
    <x v="1"/>
    <n v="13"/>
    <n v="7"/>
    <n v="1.3273260000000002E-2"/>
    <n v="8.8488400000000023E-2"/>
    <n v="0.16334558300000002"/>
    <n v="1.0889705533333336"/>
    <n v="4"/>
  </r>
  <r>
    <x v="2"/>
    <n v="5"/>
    <x v="1"/>
    <x v="1"/>
    <x v="2"/>
    <n v="27"/>
    <n v="12"/>
    <n v="5.7255660000000007E-2"/>
    <n v="0.38170440000000005"/>
    <n v="0.51511051800000007"/>
    <n v="3.4340701200000008"/>
    <n v="4"/>
  </r>
  <r>
    <x v="2"/>
    <n v="6"/>
    <x v="1"/>
    <x v="1"/>
    <x v="2"/>
    <n v="29"/>
    <n v="10"/>
    <n v="6.6052139999999995E-2"/>
    <n v="0.44034760000000001"/>
    <n v="0.49939385600000002"/>
    <n v="3.3292923733333337"/>
    <n v="4"/>
  </r>
  <r>
    <x v="2"/>
    <n v="7"/>
    <x v="1"/>
    <x v="1"/>
    <x v="0"/>
    <n v="32"/>
    <n v="12"/>
    <n v="8.0424960000000004E-2"/>
    <n v="0.53616640000000004"/>
    <n v="0.67971697800000008"/>
    <n v="4.5314465200000011"/>
    <n v="4"/>
  </r>
  <r>
    <x v="2"/>
    <n v="8"/>
    <x v="1"/>
    <x v="1"/>
    <x v="1"/>
    <n v="15"/>
    <n v="12"/>
    <n v="1.76715E-2"/>
    <n v="0.11781"/>
    <n v="0.23388456600000002"/>
    <n v="1.5592304400000001"/>
    <n v="4"/>
  </r>
  <r>
    <x v="2"/>
    <n v="9"/>
    <x v="1"/>
    <x v="1"/>
    <x v="1"/>
    <n v="14"/>
    <n v="12"/>
    <n v="1.5393840000000002E-2"/>
    <n v="0.10262560000000003"/>
    <n v="0.21770291400000003"/>
    <n v="1.4513527600000002"/>
    <n v="4"/>
  </r>
  <r>
    <x v="2"/>
    <n v="10"/>
    <x v="1"/>
    <x v="1"/>
    <x v="1"/>
    <n v="18"/>
    <n v="10"/>
    <n v="2.5446959999999998E-2"/>
    <n v="0.1696464"/>
    <n v="0.25899402599999999"/>
    <n v="1.72662684"/>
    <n v="4"/>
  </r>
  <r>
    <x v="2"/>
    <n v="11"/>
    <x v="1"/>
    <x v="1"/>
    <x v="1"/>
    <n v="12"/>
    <n v="9"/>
    <n v="1.130976E-2"/>
    <n v="7.5398400000000004E-2"/>
    <n v="0.16859997000000002"/>
    <n v="1.1239998000000002"/>
    <n v="4"/>
  </r>
  <r>
    <x v="2"/>
    <n v="12"/>
    <x v="1"/>
    <x v="1"/>
    <x v="1"/>
    <n v="10"/>
    <n v="7"/>
    <n v="7.8540000000000016E-3"/>
    <n v="5.2360000000000011E-2"/>
    <n v="0.14088656599999999"/>
    <n v="0.93924377333333331"/>
    <n v="4"/>
  </r>
  <r>
    <x v="2"/>
    <n v="13"/>
    <x v="1"/>
    <x v="1"/>
    <x v="1"/>
    <n v="17"/>
    <n v="9"/>
    <n v="2.2698060000000003E-2"/>
    <n v="0.15132040000000002"/>
    <n v="0.22928116500000001"/>
    <n v="1.5285411000000002"/>
    <n v="4"/>
  </r>
  <r>
    <x v="2"/>
    <n v="14"/>
    <x v="1"/>
    <x v="1"/>
    <x v="1"/>
    <n v="14"/>
    <n v="9"/>
    <n v="1.5393840000000002E-2"/>
    <n v="0.10262560000000003"/>
    <n v="0.19036150200000002"/>
    <n v="1.2690766800000002"/>
    <n v="4"/>
  </r>
  <r>
    <x v="2"/>
    <n v="15"/>
    <x v="1"/>
    <x v="1"/>
    <x v="1"/>
    <n v="10"/>
    <n v="7"/>
    <n v="7.8540000000000016E-3"/>
    <n v="5.2360000000000011E-2"/>
    <n v="0.14088656599999999"/>
    <n v="0.93924377333333331"/>
    <n v="4"/>
  </r>
  <r>
    <x v="2"/>
    <n v="16"/>
    <x v="1"/>
    <x v="1"/>
    <x v="1"/>
    <n v="10"/>
    <n v="6"/>
    <n v="7.8540000000000016E-3"/>
    <n v="5.2360000000000011E-2"/>
    <n v="0.13623666600000001"/>
    <n v="0.90824444000000004"/>
    <n v="4"/>
  </r>
  <r>
    <x v="2"/>
    <n v="17"/>
    <x v="1"/>
    <x v="1"/>
    <x v="1"/>
    <n v="12"/>
    <n v="6"/>
    <n v="1.130976E-2"/>
    <n v="7.5398400000000004E-2"/>
    <n v="0.14851240199999999"/>
    <n v="0.99008267999999999"/>
    <n v="4"/>
  </r>
  <r>
    <x v="2"/>
    <n v="18"/>
    <x v="1"/>
    <x v="1"/>
    <x v="1"/>
    <n v="13"/>
    <n v="7"/>
    <n v="1.3273260000000002E-2"/>
    <n v="8.8488400000000023E-2"/>
    <n v="0.16334558300000002"/>
    <n v="1.0889705533333336"/>
    <n v="4"/>
  </r>
  <r>
    <x v="2"/>
    <n v="19"/>
    <x v="1"/>
    <x v="1"/>
    <x v="1"/>
    <n v="16"/>
    <n v="7"/>
    <n v="2.0106240000000001E-2"/>
    <n v="0.13404160000000001"/>
    <n v="0.191663474"/>
    <n v="1.2777564933333334"/>
    <n v="4"/>
  </r>
  <r>
    <x v="2"/>
    <n v="20"/>
    <x v="1"/>
    <x v="1"/>
    <x v="1"/>
    <n v="15"/>
    <n v="6"/>
    <n v="1.76715E-2"/>
    <n v="0.11781"/>
    <n v="0.171110916"/>
    <n v="1.1407394400000002"/>
    <n v="4"/>
  </r>
  <r>
    <x v="2"/>
    <n v="21"/>
    <x v="1"/>
    <x v="1"/>
    <x v="1"/>
    <n v="14"/>
    <n v="6"/>
    <n v="1.5393840000000002E-2"/>
    <n v="0.10262560000000003"/>
    <n v="0.16302009000000001"/>
    <n v="1.0868006000000001"/>
    <n v="4"/>
  </r>
  <r>
    <x v="3"/>
    <n v="1"/>
    <x v="1"/>
    <x v="1"/>
    <x v="2"/>
    <n v="23"/>
    <n v="10"/>
    <n v="4.154766E-2"/>
    <n v="0.27698440000000002"/>
    <n v="0.35431697600000001"/>
    <n v="2.3621131733333334"/>
    <n v="4"/>
  </r>
  <r>
    <x v="3"/>
    <n v="2"/>
    <x v="1"/>
    <x v="1"/>
    <x v="2"/>
    <n v="22"/>
    <n v="10"/>
    <n v="3.8013359999999996E-2"/>
    <n v="0.25342239999999999"/>
    <n v="0.33339242600000002"/>
    <n v="2.2226161733333334"/>
    <n v="4"/>
  </r>
  <r>
    <x v="3"/>
    <n v="3"/>
    <x v="1"/>
    <x v="1"/>
    <x v="1"/>
    <n v="15"/>
    <n v="9"/>
    <n v="1.76715E-2"/>
    <n v="0.11781"/>
    <n v="0.20249774100000001"/>
    <n v="1.3499849400000001"/>
    <n v="4"/>
  </r>
  <r>
    <x v="3"/>
    <n v="4"/>
    <x v="1"/>
    <x v="1"/>
    <x v="2"/>
    <n v="22"/>
    <n v="10"/>
    <n v="3.8013359999999996E-2"/>
    <n v="0.25342239999999999"/>
    <n v="0.33339242600000002"/>
    <n v="2.2226161733333334"/>
    <n v="4"/>
  </r>
  <r>
    <x v="3"/>
    <n v="5"/>
    <x v="1"/>
    <x v="1"/>
    <x v="2"/>
    <n v="13"/>
    <n v="10"/>
    <n v="1.3273260000000002E-2"/>
    <n v="8.8488400000000023E-2"/>
    <n v="0.186920576"/>
    <n v="1.2461371733333335"/>
    <n v="4"/>
  </r>
  <r>
    <x v="3"/>
    <n v="6"/>
    <x v="1"/>
    <x v="1"/>
    <x v="2"/>
    <n v="20"/>
    <n v="8"/>
    <n v="3.1416000000000006E-2"/>
    <n v="0.20944000000000004"/>
    <n v="0.25713406599999999"/>
    <n v="1.7142271066666668"/>
    <n v="4"/>
  </r>
  <r>
    <x v="3"/>
    <n v="7"/>
    <x v="1"/>
    <x v="1"/>
    <x v="2"/>
    <n v="21"/>
    <n v="9"/>
    <n v="3.4636139999999996E-2"/>
    <n v="0.23090759999999999"/>
    <n v="0.29289179700000001"/>
    <n v="1.9526119800000001"/>
    <n v="4"/>
  </r>
  <r>
    <x v="3"/>
    <n v="8"/>
    <x v="1"/>
    <x v="1"/>
    <x v="2"/>
    <n v="26"/>
    <n v="12"/>
    <n v="5.3093040000000008E-2"/>
    <n v="0.35395360000000009"/>
    <n v="0.48553715400000003"/>
    <n v="3.2369143600000001"/>
    <n v="4"/>
  </r>
  <r>
    <x v="3"/>
    <n v="9"/>
    <x v="1"/>
    <x v="1"/>
    <x v="2"/>
    <n v="27"/>
    <n v="9"/>
    <n v="5.7255660000000007E-2"/>
    <n v="0.38170440000000005"/>
    <n v="0.41341720500000001"/>
    <n v="2.7561147000000004"/>
    <n v="4"/>
  </r>
  <r>
    <x v="3"/>
    <n v="10"/>
    <x v="1"/>
    <x v="1"/>
    <x v="1"/>
    <n v="19"/>
    <n v="8"/>
    <n v="2.835294E-2"/>
    <n v="0.18901960000000001"/>
    <n v="0.24262637800000003"/>
    <n v="1.6175091866666669"/>
    <n v="4"/>
  </r>
  <r>
    <x v="3"/>
    <n v="11"/>
    <x v="1"/>
    <x v="1"/>
    <x v="1"/>
    <n v="15"/>
    <n v="7"/>
    <n v="1.76715E-2"/>
    <n v="0.11781"/>
    <n v="0.18157319100000002"/>
    <n v="1.2104879400000002"/>
    <n v="4"/>
  </r>
  <r>
    <x v="3"/>
    <n v="12"/>
    <x v="1"/>
    <x v="1"/>
    <x v="1"/>
    <n v="14"/>
    <n v="8"/>
    <n v="1.5393840000000002E-2"/>
    <n v="0.10262560000000003"/>
    <n v="0.18124769800000001"/>
    <n v="1.2083179866666669"/>
    <n v="4"/>
  </r>
  <r>
    <x v="3"/>
    <n v="13"/>
    <x v="1"/>
    <x v="1"/>
    <x v="1"/>
    <n v="14"/>
    <n v="9"/>
    <n v="1.5393840000000002E-2"/>
    <n v="0.10262560000000003"/>
    <n v="0.19036150200000002"/>
    <n v="1.2690766800000002"/>
    <n v="4"/>
  </r>
  <r>
    <x v="3"/>
    <n v="14"/>
    <x v="1"/>
    <x v="1"/>
    <x v="1"/>
    <n v="15"/>
    <n v="7"/>
    <n v="1.76715E-2"/>
    <n v="0.11781"/>
    <n v="0.18157319100000002"/>
    <n v="1.2104879400000002"/>
    <n v="4"/>
  </r>
  <r>
    <x v="3"/>
    <n v="15"/>
    <x v="1"/>
    <x v="1"/>
    <x v="1"/>
    <n v="14"/>
    <n v="7"/>
    <n v="1.5393840000000002E-2"/>
    <n v="0.10262560000000003"/>
    <n v="0.17213389400000001"/>
    <n v="1.1475592933333334"/>
    <n v="4"/>
  </r>
  <r>
    <x v="3"/>
    <n v="16"/>
    <x v="1"/>
    <x v="1"/>
    <x v="1"/>
    <n v="10"/>
    <n v="5"/>
    <n v="7.8540000000000016E-3"/>
    <n v="5.2360000000000011E-2"/>
    <n v="0.13158676599999999"/>
    <n v="0.87724510666666666"/>
    <n v="4"/>
  </r>
  <r>
    <x v="3"/>
    <n v="17"/>
    <x v="1"/>
    <x v="1"/>
    <x v="1"/>
    <n v="12"/>
    <n v="6"/>
    <n v="1.130976E-2"/>
    <n v="7.5398400000000004E-2"/>
    <n v="0.14851240199999999"/>
    <n v="0.99008267999999999"/>
    <n v="4"/>
  </r>
  <r>
    <x v="3"/>
    <n v="18"/>
    <x v="1"/>
    <x v="1"/>
    <x v="2"/>
    <n v="13"/>
    <n v="9"/>
    <n v="1.3273260000000002E-2"/>
    <n v="8.8488400000000023E-2"/>
    <n v="0.17906224500000001"/>
    <n v="1.1937483000000002"/>
    <n v="4"/>
  </r>
  <r>
    <x v="3"/>
    <n v="19"/>
    <x v="1"/>
    <x v="1"/>
    <x v="2"/>
    <n v="22"/>
    <n v="8"/>
    <n v="3.8013359999999996E-2"/>
    <n v="0.25342239999999999"/>
    <n v="0.28838139400000001"/>
    <n v="1.9225426266666668"/>
    <n v="4"/>
  </r>
  <r>
    <x v="3"/>
    <n v="20"/>
    <x v="1"/>
    <x v="1"/>
    <x v="0"/>
    <n v="31"/>
    <n v="10"/>
    <n v="7.5476940000000006E-2"/>
    <n v="0.50317960000000006"/>
    <n v="0.55519265600000001"/>
    <n v="3.7012843733333334"/>
    <n v="4"/>
  </r>
  <r>
    <x v="3"/>
    <n v="21"/>
    <x v="1"/>
    <x v="1"/>
    <x v="0"/>
    <n v="33"/>
    <n v="10"/>
    <n v="8.5530060000000005E-2"/>
    <n v="0.57020040000000005"/>
    <n v="0.61471137600000003"/>
    <n v="4.0980758400000008"/>
    <n v="4"/>
  </r>
  <r>
    <x v="3"/>
    <n v="22"/>
    <x v="1"/>
    <x v="1"/>
    <x v="1"/>
    <n v="17"/>
    <n v="8"/>
    <n v="2.2698060000000003E-2"/>
    <n v="0.15132040000000002"/>
    <n v="0.215842954"/>
    <n v="1.4389530266666668"/>
    <n v="4"/>
  </r>
  <r>
    <x v="3"/>
    <n v="23"/>
    <x v="1"/>
    <x v="1"/>
    <x v="1"/>
    <n v="16"/>
    <n v="7"/>
    <n v="2.0106240000000001E-2"/>
    <n v="0.13404160000000001"/>
    <n v="0.191663474"/>
    <n v="1.2777564933333334"/>
    <n v="4"/>
  </r>
  <r>
    <x v="3"/>
    <n v="24"/>
    <x v="1"/>
    <x v="1"/>
    <x v="1"/>
    <n v="10"/>
    <n v="6"/>
    <n v="7.8540000000000016E-3"/>
    <n v="5.2360000000000011E-2"/>
    <n v="0.13623666600000001"/>
    <n v="0.90824444000000004"/>
    <n v="4"/>
  </r>
  <r>
    <x v="3"/>
    <n v="25"/>
    <x v="1"/>
    <x v="1"/>
    <x v="1"/>
    <n v="17"/>
    <n v="8"/>
    <n v="2.2698060000000003E-2"/>
    <n v="0.15132040000000002"/>
    <n v="0.215842954"/>
    <n v="1.4389530266666668"/>
    <n v="4"/>
  </r>
  <r>
    <x v="3"/>
    <n v="26"/>
    <x v="1"/>
    <x v="1"/>
    <x v="1"/>
    <n v="17"/>
    <n v="9"/>
    <n v="2.2698060000000003E-2"/>
    <n v="0.15132040000000002"/>
    <n v="0.22928116500000001"/>
    <n v="1.5285411000000002"/>
    <n v="4"/>
  </r>
  <r>
    <x v="4"/>
    <n v="1"/>
    <x v="1"/>
    <x v="1"/>
    <x v="2"/>
    <n v="20"/>
    <n v="9"/>
    <n v="3.1416000000000006E-2"/>
    <n v="0.20944000000000004"/>
    <n v="0.27573366599999999"/>
    <n v="1.8382244400000001"/>
    <n v="4"/>
  </r>
  <r>
    <x v="4"/>
    <n v="2"/>
    <x v="1"/>
    <x v="1"/>
    <x v="1"/>
    <n v="18"/>
    <n v="7"/>
    <n v="2.5446959999999998E-2"/>
    <n v="0.1696464"/>
    <n v="0.21379699800000002"/>
    <n v="1.4253133200000001"/>
    <n v="4"/>
  </r>
  <r>
    <x v="4"/>
    <n v="3"/>
    <x v="1"/>
    <x v="1"/>
    <x v="2"/>
    <n v="21"/>
    <n v="9"/>
    <n v="3.4636139999999996E-2"/>
    <n v="0.23090759999999999"/>
    <n v="0.29289179700000001"/>
    <n v="1.9526119800000001"/>
    <n v="4"/>
  </r>
  <r>
    <x v="4"/>
    <n v="4"/>
    <x v="1"/>
    <x v="1"/>
    <x v="1"/>
    <n v="14"/>
    <n v="7"/>
    <n v="1.5393840000000002E-2"/>
    <n v="0.10262560000000003"/>
    <n v="0.17213389400000001"/>
    <n v="1.1475592933333334"/>
    <n v="4"/>
  </r>
  <r>
    <x v="4"/>
    <n v="5"/>
    <x v="1"/>
    <x v="1"/>
    <x v="1"/>
    <n v="15"/>
    <n v="8"/>
    <n v="1.76715E-2"/>
    <n v="0.11781"/>
    <n v="0.19203546599999999"/>
    <n v="1.2802364399999999"/>
    <n v="4"/>
  </r>
  <r>
    <x v="4"/>
    <n v="6"/>
    <x v="1"/>
    <x v="1"/>
    <x v="1"/>
    <n v="18"/>
    <n v="13"/>
    <n v="2.5446959999999998E-2"/>
    <n v="0.1696464"/>
    <n v="0.30419105400000002"/>
    <n v="2.0279403600000001"/>
    <n v="4"/>
  </r>
  <r>
    <x v="4"/>
    <n v="7"/>
    <x v="1"/>
    <x v="1"/>
    <x v="2"/>
    <n v="20"/>
    <n v="10"/>
    <n v="3.1416000000000006E-2"/>
    <n v="0.20944000000000004"/>
    <n v="0.29433326600000004"/>
    <n v="1.9622217733333336"/>
    <n v="4"/>
  </r>
  <r>
    <x v="4"/>
    <n v="8"/>
    <x v="1"/>
    <x v="1"/>
    <x v="1"/>
    <n v="16"/>
    <n v="10"/>
    <n v="2.0106240000000001E-2"/>
    <n v="0.13404160000000001"/>
    <n v="0.22737470600000001"/>
    <n v="1.5158313733333335"/>
    <n v="4"/>
  </r>
  <r>
    <x v="4"/>
    <n v="9"/>
    <x v="1"/>
    <x v="1"/>
    <x v="2"/>
    <n v="26"/>
    <n v="10"/>
    <n v="5.3093040000000008E-2"/>
    <n v="0.35395360000000009"/>
    <n v="0.422670506"/>
    <n v="2.8178033733333336"/>
    <n v="4"/>
  </r>
  <r>
    <x v="4"/>
    <n v="10"/>
    <x v="0"/>
    <x v="0"/>
    <x v="1"/>
    <n v="17"/>
    <n v="11"/>
    <n v="2.2698060000000003E-2"/>
    <n v="0.15132040000000002"/>
    <n v="0.1053808908"/>
    <n v="0.70253927199999999"/>
    <n v="4"/>
  </r>
  <r>
    <x v="4"/>
    <n v="11"/>
    <x v="0"/>
    <x v="0"/>
    <x v="1"/>
    <n v="12"/>
    <n v="11"/>
    <n v="1.130976E-2"/>
    <n v="7.5398400000000004E-2"/>
    <n v="5.9264017799999999E-2"/>
    <n v="0.39509345200000001"/>
    <n v="4"/>
  </r>
  <r>
    <x v="4"/>
    <n v="12"/>
    <x v="0"/>
    <x v="0"/>
    <x v="1"/>
    <n v="19"/>
    <n v="12"/>
    <n v="2.835294E-2"/>
    <n v="0.18901960000000001"/>
    <n v="0.13871804100000001"/>
    <n v="0.92478694000000017"/>
    <n v="4"/>
  </r>
  <r>
    <x v="4"/>
    <n v="13"/>
    <x v="0"/>
    <x v="0"/>
    <x v="1"/>
    <n v="18"/>
    <n v="10"/>
    <n v="2.5446959999999998E-2"/>
    <n v="0.1696464"/>
    <n v="0.1071446082"/>
    <n v="0.71429738800000009"/>
    <n v="4"/>
  </r>
  <r>
    <x v="4"/>
    <n v="14"/>
    <x v="1"/>
    <x v="1"/>
    <x v="1"/>
    <n v="19"/>
    <n v="10"/>
    <n v="2.835294E-2"/>
    <n v="0.18901960000000001"/>
    <n v="0.27619865599999999"/>
    <n v="1.8413243733333333"/>
    <n v="4"/>
  </r>
  <r>
    <x v="4"/>
    <n v="15"/>
    <x v="1"/>
    <x v="1"/>
    <x v="1"/>
    <n v="19"/>
    <n v="12"/>
    <n v="2.835294E-2"/>
    <n v="0.18901960000000001"/>
    <n v="0.309770934"/>
    <n v="2.06513956"/>
    <n v="4"/>
  </r>
  <r>
    <x v="4"/>
    <n v="16"/>
    <x v="1"/>
    <x v="1"/>
    <x v="1"/>
    <n v="17"/>
    <n v="10"/>
    <n v="2.2698060000000003E-2"/>
    <n v="0.15132040000000002"/>
    <n v="0.24271937599999999"/>
    <n v="1.6181291733333334"/>
    <n v="4"/>
  </r>
  <r>
    <x v="4"/>
    <n v="17"/>
    <x v="1"/>
    <x v="1"/>
    <x v="1"/>
    <n v="16"/>
    <n v="10"/>
    <n v="2.0106240000000001E-2"/>
    <n v="0.13404160000000001"/>
    <n v="0.22737470600000001"/>
    <n v="1.5158313733333335"/>
    <n v="4"/>
  </r>
  <r>
    <x v="4"/>
    <n v="18"/>
    <x v="1"/>
    <x v="1"/>
    <x v="1"/>
    <n v="17"/>
    <n v="9"/>
    <n v="2.2698060000000003E-2"/>
    <n v="0.15132040000000002"/>
    <n v="0.22928116500000001"/>
    <n v="1.5285411000000002"/>
    <n v="4"/>
  </r>
  <r>
    <x v="4"/>
    <n v="19"/>
    <x v="0"/>
    <x v="0"/>
    <x v="1"/>
    <n v="15"/>
    <n v="10"/>
    <n v="1.76715E-2"/>
    <n v="0.11781"/>
    <n v="7.852034220000001E-2"/>
    <n v="0.5234689480000001"/>
    <n v="4"/>
  </r>
  <r>
    <x v="4"/>
    <n v="20"/>
    <x v="0"/>
    <x v="0"/>
    <x v="2"/>
    <n v="22"/>
    <n v="10"/>
    <n v="3.8013359999999996E-2"/>
    <n v="0.25342239999999999"/>
    <n v="0.15340604820000001"/>
    <n v="1.0227069880000002"/>
    <n v="4"/>
  </r>
  <r>
    <x v="4"/>
    <n v="21"/>
    <x v="0"/>
    <x v="0"/>
    <x v="2"/>
    <n v="20"/>
    <n v="10"/>
    <n v="3.1416000000000006E-2"/>
    <n v="0.20944000000000004"/>
    <n v="0.1291187922"/>
    <n v="0.86079194800000003"/>
    <n v="4"/>
  </r>
  <r>
    <x v="4"/>
    <n v="22"/>
    <x v="0"/>
    <x v="0"/>
    <x v="1"/>
    <n v="17"/>
    <n v="10"/>
    <n v="2.2698060000000003E-2"/>
    <n v="0.15132040000000002"/>
    <n v="9.7024918200000004E-2"/>
    <n v="0.6468327880000001"/>
    <n v="4"/>
  </r>
  <r>
    <x v="4"/>
    <n v="23"/>
    <x v="0"/>
    <x v="0"/>
    <x v="1"/>
    <n v="16"/>
    <n v="8"/>
    <n v="2.0106240000000001E-2"/>
    <n v="0.13404160000000001"/>
    <n v="7.2679835400000004E-2"/>
    <n v="0.48453223600000006"/>
    <n v="4"/>
  </r>
  <r>
    <x v="4"/>
    <n v="24"/>
    <x v="0"/>
    <x v="0"/>
    <x v="1"/>
    <n v="17"/>
    <n v="9"/>
    <n v="2.2698060000000003E-2"/>
    <n v="0.15132040000000002"/>
    <n v="8.8668945600000007E-2"/>
    <n v="0.5911263040000001"/>
    <n v="4"/>
  </r>
  <r>
    <x v="4"/>
    <n v="25"/>
    <x v="1"/>
    <x v="1"/>
    <x v="1"/>
    <n v="17"/>
    <n v="9"/>
    <n v="2.2698060000000003E-2"/>
    <n v="0.15132040000000002"/>
    <n v="0.22928116500000001"/>
    <n v="1.528541100000000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2">
    <pivotField showAll="0"/>
    <pivotField dataField="1" showAll="0"/>
    <pivotField axis="axisRow" showAll="0">
      <items count="5">
        <item m="1" x="3"/>
        <item x="0"/>
        <item x="1"/>
        <item x="2"/>
        <item t="default"/>
      </items>
    </pivotField>
    <pivotField axis="axisRow" showAll="0">
      <items count="6">
        <item x="0"/>
        <item x="1"/>
        <item m="1" x="4"/>
        <item m="1" x="3"/>
        <item x="2"/>
        <item t="default"/>
      </items>
    </pivotField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</pivotFields>
  <rowFields count="2">
    <field x="3"/>
    <field x="2"/>
  </rowFields>
  <rowItems count="7">
    <i>
      <x/>
    </i>
    <i r="1">
      <x v="1"/>
    </i>
    <i>
      <x v="1"/>
    </i>
    <i r="1">
      <x v="2"/>
    </i>
    <i>
      <x v="4"/>
    </i>
    <i r="1">
      <x v="3"/>
    </i>
    <i t="grand">
      <x/>
    </i>
  </rowItems>
  <colItems count="1">
    <i/>
  </colItems>
  <dataFields count="1">
    <dataField name="Cuenta de No. Arbol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5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F8" firstHeaderRow="1" firstDataRow="2" firstDataCol="1"/>
  <pivotFields count="12">
    <pivotField showAll="0"/>
    <pivotField showAll="0"/>
    <pivotField showAll="0"/>
    <pivotField axis="axisRow" showAll="0">
      <items count="6">
        <item x="0"/>
        <item x="1"/>
        <item m="1" x="4"/>
        <item m="1" x="3"/>
        <item x="2"/>
        <item t="default"/>
      </items>
    </pivotField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3"/>
  </rowFields>
  <rowItems count="4">
    <i>
      <x/>
    </i>
    <i>
      <x v="1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"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5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No. De Parcela">
  <location ref="A3:F10" firstHeaderRow="1" firstDataRow="2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21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5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Especie y Clase Diametrica">
  <location ref="A3:F16" firstHeaderRow="1" firstDataRow="2" firstDataCol="1"/>
  <pivotFields count="12">
    <pivotField showAll="0"/>
    <pivotField showAll="0"/>
    <pivotField showAll="0"/>
    <pivotField axis="axisRow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numFmtId="2" showAll="0"/>
    <pivotField dataField="1" numFmtId="2" showAll="0"/>
    <pivotField numFmtId="2" showAll="0"/>
    <pivotField dataField="1" numFmtId="2" showAll="0"/>
    <pivotField dataField="1" numFmtId="2" showAll="0"/>
  </pivotFields>
  <rowFields count="2">
    <field x="3"/>
    <field x="4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4"/>
    </i>
    <i r="1">
      <x v="1"/>
    </i>
    <i r="1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ensidad/Ha." fld="11" baseField="0" baseItem="0" numFmtId="1"/>
    <dataField name="Promedio de DAP (cm)" fld="5" subtotal="average" baseField="0" baseItem="0" numFmtId="2"/>
    <dataField name="Promedio de Altura (m)" fld="6" subtotal="average" baseField="0" baseItem="0" numFmtId="2"/>
    <dataField name="Suma de AB/Ha." fld="8" baseField="0" baseItem="0" numFmtId="2"/>
    <dataField name="Suma de Volumen/Ha." fld="10" baseField="0" baseItem="0" numFmtId="2"/>
  </dataFields>
  <formats count="16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">
      <pivotArea field="3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="78" zoomScaleNormal="78" workbookViewId="0">
      <selection activeCell="C1" sqref="C1"/>
    </sheetView>
  </sheetViews>
  <sheetFormatPr baseColWidth="10" defaultColWidth="11.42578125" defaultRowHeight="15" x14ac:dyDescent="0.25"/>
  <cols>
    <col min="1" max="1" width="9.140625" customWidth="1"/>
    <col min="2" max="2" width="9.5703125" customWidth="1"/>
    <col min="3" max="3" width="13" customWidth="1"/>
    <col min="4" max="4" width="24.140625" customWidth="1"/>
  </cols>
  <sheetData>
    <row r="1" spans="1:12" ht="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>
        <v>1</v>
      </c>
      <c r="B2">
        <v>1</v>
      </c>
      <c r="C2" s="1" t="s">
        <v>61</v>
      </c>
      <c r="D2" s="1" t="s">
        <v>58</v>
      </c>
      <c r="E2" s="1" t="s">
        <v>59</v>
      </c>
      <c r="F2">
        <v>35</v>
      </c>
      <c r="G2" s="1">
        <v>17</v>
      </c>
      <c r="H2" s="3">
        <f t="shared" ref="H2" si="0">0.7854*(F2/100)^2</f>
        <v>9.6211499999999991E-2</v>
      </c>
      <c r="I2" s="4">
        <f>H2*1/0.2</f>
        <v>0.48105749999999992</v>
      </c>
      <c r="J2" s="3">
        <f>(0.0134651922+0.0000289134*(F2^2*G2))</f>
        <v>0.61558674719999995</v>
      </c>
      <c r="K2" s="4">
        <f>J2/0.15</f>
        <v>4.1039116479999995</v>
      </c>
      <c r="L2" s="4">
        <f>1*1/0.25</f>
        <v>4</v>
      </c>
    </row>
    <row r="3" spans="1:12" x14ac:dyDescent="0.25">
      <c r="A3">
        <v>1</v>
      </c>
      <c r="B3">
        <v>2</v>
      </c>
      <c r="C3" s="1" t="s">
        <v>61</v>
      </c>
      <c r="D3" s="1" t="s">
        <v>58</v>
      </c>
      <c r="E3" s="1" t="s">
        <v>52</v>
      </c>
      <c r="F3" s="1">
        <v>17</v>
      </c>
      <c r="G3">
        <v>12</v>
      </c>
      <c r="H3" s="3">
        <f t="shared" ref="H3:H120" si="1">0.7854*(F3/100)^2</f>
        <v>2.2698060000000003E-2</v>
      </c>
      <c r="I3" s="4">
        <f t="shared" ref="I3:I22" si="2">H3*1/0.2</f>
        <v>0.1134903</v>
      </c>
      <c r="J3" s="3">
        <f t="shared" ref="J3:J8" si="3">(0.0134651922+0.0000289134*(F3^2*G3))</f>
        <v>0.1137368634</v>
      </c>
      <c r="K3" s="4">
        <f t="shared" ref="K3:K120" si="4">J3/0.15</f>
        <v>0.75824575599999999</v>
      </c>
      <c r="L3" s="4">
        <f t="shared" ref="L3:L21" si="5">1*1/0.25</f>
        <v>4</v>
      </c>
    </row>
    <row r="4" spans="1:12" x14ac:dyDescent="0.25">
      <c r="A4" s="1">
        <v>1</v>
      </c>
      <c r="B4" s="1">
        <v>3</v>
      </c>
      <c r="C4" s="1" t="s">
        <v>61</v>
      </c>
      <c r="D4" s="1" t="s">
        <v>58</v>
      </c>
      <c r="E4" s="1" t="s">
        <v>53</v>
      </c>
      <c r="F4" s="1">
        <v>20</v>
      </c>
      <c r="G4">
        <v>14</v>
      </c>
      <c r="H4" s="3">
        <f t="shared" si="1"/>
        <v>3.1416000000000006E-2</v>
      </c>
      <c r="I4" s="4">
        <f t="shared" si="2"/>
        <v>0.15708000000000003</v>
      </c>
      <c r="J4" s="3">
        <f t="shared" si="3"/>
        <v>0.17538023220000001</v>
      </c>
      <c r="K4" s="4">
        <f t="shared" si="4"/>
        <v>1.1692015480000002</v>
      </c>
      <c r="L4" s="4">
        <f t="shared" si="5"/>
        <v>4</v>
      </c>
    </row>
    <row r="5" spans="1:12" x14ac:dyDescent="0.25">
      <c r="A5" s="1">
        <v>1</v>
      </c>
      <c r="B5" s="1">
        <v>4</v>
      </c>
      <c r="C5" s="1" t="s">
        <v>61</v>
      </c>
      <c r="D5" s="1" t="s">
        <v>58</v>
      </c>
      <c r="E5" s="1" t="s">
        <v>52</v>
      </c>
      <c r="F5" s="1">
        <v>18</v>
      </c>
      <c r="G5">
        <v>12</v>
      </c>
      <c r="H5" s="3">
        <f t="shared" si="1"/>
        <v>2.5446959999999998E-2</v>
      </c>
      <c r="I5" s="4">
        <f t="shared" si="2"/>
        <v>0.12723479999999998</v>
      </c>
      <c r="J5" s="3">
        <f t="shared" si="3"/>
        <v>0.12588049139999999</v>
      </c>
      <c r="K5" s="4">
        <f t="shared" si="4"/>
        <v>0.839203276</v>
      </c>
      <c r="L5" s="4">
        <f t="shared" si="5"/>
        <v>4</v>
      </c>
    </row>
    <row r="6" spans="1:12" x14ac:dyDescent="0.25">
      <c r="A6" s="1">
        <v>1</v>
      </c>
      <c r="B6" s="1">
        <v>5</v>
      </c>
      <c r="C6" s="1" t="s">
        <v>61</v>
      </c>
      <c r="D6" s="1" t="s">
        <v>58</v>
      </c>
      <c r="E6" s="1" t="s">
        <v>53</v>
      </c>
      <c r="F6" s="1">
        <v>22</v>
      </c>
      <c r="G6">
        <v>16</v>
      </c>
      <c r="H6" s="3">
        <f t="shared" si="1"/>
        <v>3.8013359999999996E-2</v>
      </c>
      <c r="I6" s="4">
        <f t="shared" si="2"/>
        <v>0.19006679999999998</v>
      </c>
      <c r="J6" s="3">
        <f t="shared" si="3"/>
        <v>0.23737056179999999</v>
      </c>
      <c r="K6" s="4">
        <f t="shared" si="4"/>
        <v>1.5824704119999999</v>
      </c>
      <c r="L6" s="4">
        <f t="shared" si="5"/>
        <v>4</v>
      </c>
    </row>
    <row r="7" spans="1:12" x14ac:dyDescent="0.25">
      <c r="A7" s="1">
        <v>1</v>
      </c>
      <c r="B7" s="1">
        <v>6</v>
      </c>
      <c r="C7" s="1" t="s">
        <v>61</v>
      </c>
      <c r="D7" s="1" t="s">
        <v>58</v>
      </c>
      <c r="E7" s="1" t="s">
        <v>52</v>
      </c>
      <c r="F7" s="1">
        <v>18</v>
      </c>
      <c r="G7">
        <v>13</v>
      </c>
      <c r="H7" s="3">
        <f t="shared" si="1"/>
        <v>2.5446959999999998E-2</v>
      </c>
      <c r="I7" s="4">
        <f t="shared" si="2"/>
        <v>0.12723479999999998</v>
      </c>
      <c r="J7" s="3">
        <f t="shared" si="3"/>
        <v>0.135248433</v>
      </c>
      <c r="K7" s="4">
        <f t="shared" si="4"/>
        <v>0.90165622000000001</v>
      </c>
      <c r="L7" s="4">
        <f t="shared" si="5"/>
        <v>4</v>
      </c>
    </row>
    <row r="8" spans="1:12" x14ac:dyDescent="0.25">
      <c r="A8" s="1">
        <v>1</v>
      </c>
      <c r="B8" s="1">
        <v>7</v>
      </c>
      <c r="C8" s="1" t="s">
        <v>61</v>
      </c>
      <c r="D8" s="1" t="s">
        <v>58</v>
      </c>
      <c r="E8" s="1" t="s">
        <v>52</v>
      </c>
      <c r="F8" s="1">
        <v>17</v>
      </c>
      <c r="G8">
        <v>10</v>
      </c>
      <c r="H8" s="3">
        <f t="shared" si="1"/>
        <v>2.2698060000000003E-2</v>
      </c>
      <c r="I8" s="4">
        <f t="shared" si="2"/>
        <v>0.1134903</v>
      </c>
      <c r="J8" s="3">
        <f t="shared" si="3"/>
        <v>9.7024918200000004E-2</v>
      </c>
      <c r="K8" s="4">
        <f t="shared" si="4"/>
        <v>0.6468327880000001</v>
      </c>
      <c r="L8" s="4">
        <f t="shared" si="5"/>
        <v>4</v>
      </c>
    </row>
    <row r="9" spans="1:12" x14ac:dyDescent="0.25">
      <c r="A9" s="1">
        <v>1</v>
      </c>
      <c r="B9" s="1">
        <v>8</v>
      </c>
      <c r="C9" s="1" t="s">
        <v>54</v>
      </c>
      <c r="D9" s="1" t="s">
        <v>55</v>
      </c>
      <c r="E9" s="1" t="s">
        <v>52</v>
      </c>
      <c r="F9" s="1">
        <v>13</v>
      </c>
      <c r="G9">
        <v>7</v>
      </c>
      <c r="H9" s="3">
        <f t="shared" si="1"/>
        <v>1.3273260000000002E-2</v>
      </c>
      <c r="I9" s="4">
        <f t="shared" si="2"/>
        <v>6.6366300000000003E-2</v>
      </c>
      <c r="J9" s="3">
        <f t="shared" ref="J9:J120" si="6">(0.108337266+0.000046499*(F9^2*G9))</f>
        <v>0.16334558300000002</v>
      </c>
      <c r="K9" s="4">
        <f t="shared" si="4"/>
        <v>1.0889705533333336</v>
      </c>
      <c r="L9" s="4">
        <f t="shared" si="5"/>
        <v>4</v>
      </c>
    </row>
    <row r="10" spans="1:12" s="1" customFormat="1" x14ac:dyDescent="0.25">
      <c r="A10" s="1">
        <v>1</v>
      </c>
      <c r="B10" s="1">
        <v>9</v>
      </c>
      <c r="C10" s="1" t="s">
        <v>54</v>
      </c>
      <c r="D10" s="1" t="s">
        <v>55</v>
      </c>
      <c r="E10" s="1" t="s">
        <v>52</v>
      </c>
      <c r="F10" s="1">
        <v>19</v>
      </c>
      <c r="G10" s="1">
        <v>12</v>
      </c>
      <c r="H10" s="3">
        <f t="shared" si="1"/>
        <v>2.835294E-2</v>
      </c>
      <c r="I10" s="4">
        <f t="shared" si="2"/>
        <v>0.14176469999999999</v>
      </c>
      <c r="J10" s="3">
        <f t="shared" si="6"/>
        <v>0.309770934</v>
      </c>
      <c r="K10" s="4">
        <f t="shared" si="4"/>
        <v>2.06513956</v>
      </c>
      <c r="L10" s="4">
        <f>1*1/0.25</f>
        <v>4</v>
      </c>
    </row>
    <row r="11" spans="1:12" s="1" customFormat="1" x14ac:dyDescent="0.25">
      <c r="A11" s="1">
        <v>1</v>
      </c>
      <c r="B11" s="1">
        <v>10</v>
      </c>
      <c r="C11" s="1" t="s">
        <v>54</v>
      </c>
      <c r="D11" s="1" t="s">
        <v>55</v>
      </c>
      <c r="E11" s="1" t="s">
        <v>53</v>
      </c>
      <c r="F11" s="1">
        <v>21</v>
      </c>
      <c r="G11" s="1">
        <v>12</v>
      </c>
      <c r="H11" s="3">
        <f t="shared" si="1"/>
        <v>3.4636139999999996E-2</v>
      </c>
      <c r="I11" s="4">
        <f t="shared" si="2"/>
        <v>0.17318069999999997</v>
      </c>
      <c r="J11" s="3">
        <f t="shared" si="6"/>
        <v>0.35440997400000002</v>
      </c>
      <c r="K11" s="4">
        <f t="shared" si="4"/>
        <v>2.3627331600000003</v>
      </c>
      <c r="L11" s="4">
        <f t="shared" si="5"/>
        <v>4</v>
      </c>
    </row>
    <row r="12" spans="1:12" s="1" customFormat="1" x14ac:dyDescent="0.25">
      <c r="A12" s="1">
        <v>1</v>
      </c>
      <c r="B12" s="1">
        <v>11</v>
      </c>
      <c r="C12" s="1" t="s">
        <v>54</v>
      </c>
      <c r="D12" s="1" t="s">
        <v>55</v>
      </c>
      <c r="E12" s="1" t="s">
        <v>53</v>
      </c>
      <c r="F12" s="1">
        <v>25</v>
      </c>
      <c r="G12" s="1">
        <v>14</v>
      </c>
      <c r="H12" s="3">
        <f t="shared" si="1"/>
        <v>4.9087499999999999E-2</v>
      </c>
      <c r="I12" s="4">
        <f t="shared" si="2"/>
        <v>0.24543749999999998</v>
      </c>
      <c r="J12" s="3">
        <f t="shared" si="6"/>
        <v>0.51520351600000003</v>
      </c>
      <c r="K12" s="4">
        <f t="shared" si="4"/>
        <v>3.4346901066666669</v>
      </c>
      <c r="L12" s="4">
        <f t="shared" si="5"/>
        <v>4</v>
      </c>
    </row>
    <row r="13" spans="1:12" s="1" customFormat="1" x14ac:dyDescent="0.25">
      <c r="A13" s="1">
        <v>1</v>
      </c>
      <c r="B13" s="1">
        <v>12</v>
      </c>
      <c r="C13" s="1" t="s">
        <v>57</v>
      </c>
      <c r="D13" s="1" t="s">
        <v>60</v>
      </c>
      <c r="E13" s="1" t="s">
        <v>53</v>
      </c>
      <c r="F13" s="1">
        <v>24</v>
      </c>
      <c r="G13" s="1">
        <v>10</v>
      </c>
      <c r="H13" s="3">
        <f t="shared" si="1"/>
        <v>4.5239040000000001E-2</v>
      </c>
      <c r="I13" s="4">
        <f t="shared" si="2"/>
        <v>0.22619519999999999</v>
      </c>
      <c r="J13" s="3">
        <f t="shared" si="6"/>
        <v>0.37617150599999999</v>
      </c>
      <c r="K13" s="4">
        <f t="shared" si="4"/>
        <v>2.5078100399999999</v>
      </c>
      <c r="L13" s="4">
        <f t="shared" si="5"/>
        <v>4</v>
      </c>
    </row>
    <row r="14" spans="1:12" s="1" customFormat="1" x14ac:dyDescent="0.25">
      <c r="A14" s="1">
        <v>1</v>
      </c>
      <c r="B14" s="1">
        <v>13</v>
      </c>
      <c r="C14" s="1" t="s">
        <v>57</v>
      </c>
      <c r="D14" s="1" t="s">
        <v>60</v>
      </c>
      <c r="E14" s="1" t="s">
        <v>52</v>
      </c>
      <c r="F14" s="1">
        <v>16</v>
      </c>
      <c r="G14" s="1">
        <v>8</v>
      </c>
      <c r="H14" s="3">
        <f t="shared" si="1"/>
        <v>2.0106240000000001E-2</v>
      </c>
      <c r="I14" s="4">
        <f t="shared" si="2"/>
        <v>0.1005312</v>
      </c>
      <c r="J14" s="3">
        <f t="shared" si="6"/>
        <v>0.20356721799999999</v>
      </c>
      <c r="K14" s="4">
        <f t="shared" si="4"/>
        <v>1.3571147866666666</v>
      </c>
      <c r="L14" s="4">
        <f t="shared" si="5"/>
        <v>4</v>
      </c>
    </row>
    <row r="15" spans="1:12" s="1" customFormat="1" x14ac:dyDescent="0.25">
      <c r="A15" s="1">
        <v>1</v>
      </c>
      <c r="B15" s="1">
        <v>14</v>
      </c>
      <c r="C15" s="1" t="s">
        <v>54</v>
      </c>
      <c r="D15" s="1" t="s">
        <v>55</v>
      </c>
      <c r="E15" s="1" t="s">
        <v>52</v>
      </c>
      <c r="F15" s="1">
        <v>15</v>
      </c>
      <c r="G15" s="1">
        <v>5</v>
      </c>
      <c r="H15" s="3">
        <f t="shared" si="1"/>
        <v>1.76715E-2</v>
      </c>
      <c r="I15" s="4">
        <f t="shared" si="2"/>
        <v>8.8357499999999992E-2</v>
      </c>
      <c r="J15" s="3">
        <f t="shared" si="6"/>
        <v>0.16064864100000001</v>
      </c>
      <c r="K15" s="4">
        <f t="shared" si="4"/>
        <v>1.0709909400000002</v>
      </c>
      <c r="L15" s="4">
        <f t="shared" si="5"/>
        <v>4</v>
      </c>
    </row>
    <row r="16" spans="1:12" s="1" customFormat="1" x14ac:dyDescent="0.25">
      <c r="A16" s="1">
        <v>1</v>
      </c>
      <c r="B16" s="1">
        <v>15</v>
      </c>
      <c r="C16" s="1" t="s">
        <v>54</v>
      </c>
      <c r="D16" s="1" t="s">
        <v>55</v>
      </c>
      <c r="E16" s="1" t="s">
        <v>52</v>
      </c>
      <c r="F16" s="1">
        <v>14</v>
      </c>
      <c r="G16" s="1">
        <v>6</v>
      </c>
      <c r="H16" s="3">
        <f t="shared" si="1"/>
        <v>1.5393840000000002E-2</v>
      </c>
      <c r="I16" s="4">
        <f t="shared" si="2"/>
        <v>7.6969200000000002E-2</v>
      </c>
      <c r="J16" s="3">
        <f t="shared" si="6"/>
        <v>0.16302009000000001</v>
      </c>
      <c r="K16" s="4">
        <f t="shared" si="4"/>
        <v>1.0868006000000001</v>
      </c>
      <c r="L16" s="4">
        <f t="shared" si="5"/>
        <v>4</v>
      </c>
    </row>
    <row r="17" spans="1:12" s="1" customFormat="1" x14ac:dyDescent="0.25">
      <c r="A17" s="1">
        <v>1</v>
      </c>
      <c r="B17" s="1">
        <v>16</v>
      </c>
      <c r="C17" s="1" t="s">
        <v>54</v>
      </c>
      <c r="D17" s="1" t="s">
        <v>55</v>
      </c>
      <c r="E17" s="1" t="s">
        <v>52</v>
      </c>
      <c r="F17" s="1">
        <v>19</v>
      </c>
      <c r="G17" s="1">
        <v>10</v>
      </c>
      <c r="H17" s="3">
        <f t="shared" si="1"/>
        <v>2.835294E-2</v>
      </c>
      <c r="I17" s="4">
        <f t="shared" si="2"/>
        <v>0.14176469999999999</v>
      </c>
      <c r="J17" s="3">
        <f t="shared" si="6"/>
        <v>0.27619865599999999</v>
      </c>
      <c r="K17" s="4">
        <f t="shared" si="4"/>
        <v>1.8413243733333333</v>
      </c>
      <c r="L17" s="4">
        <f t="shared" si="5"/>
        <v>4</v>
      </c>
    </row>
    <row r="18" spans="1:12" x14ac:dyDescent="0.25">
      <c r="A18" s="1">
        <v>1</v>
      </c>
      <c r="B18" s="1">
        <v>17</v>
      </c>
      <c r="C18" s="1" t="s">
        <v>54</v>
      </c>
      <c r="D18" s="1" t="s">
        <v>55</v>
      </c>
      <c r="E18" s="1" t="s">
        <v>52</v>
      </c>
      <c r="F18" s="1">
        <v>17</v>
      </c>
      <c r="G18">
        <v>8</v>
      </c>
      <c r="H18" s="3">
        <f t="shared" si="1"/>
        <v>2.2698060000000003E-2</v>
      </c>
      <c r="I18" s="4">
        <f t="shared" si="2"/>
        <v>0.1134903</v>
      </c>
      <c r="J18" s="3">
        <f t="shared" si="6"/>
        <v>0.215842954</v>
      </c>
      <c r="K18" s="4">
        <f t="shared" si="4"/>
        <v>1.4389530266666668</v>
      </c>
      <c r="L18" s="4">
        <f>1*1/0.25</f>
        <v>4</v>
      </c>
    </row>
    <row r="19" spans="1:12" x14ac:dyDescent="0.25">
      <c r="A19" s="1">
        <v>1</v>
      </c>
      <c r="B19" s="1">
        <v>18</v>
      </c>
      <c r="C19" s="1" t="s">
        <v>54</v>
      </c>
      <c r="D19" s="1" t="s">
        <v>55</v>
      </c>
      <c r="E19" s="1" t="s">
        <v>52</v>
      </c>
      <c r="F19" s="1">
        <v>14</v>
      </c>
      <c r="G19">
        <v>7</v>
      </c>
      <c r="H19" s="3">
        <f t="shared" si="1"/>
        <v>1.5393840000000002E-2</v>
      </c>
      <c r="I19" s="4">
        <f t="shared" si="2"/>
        <v>7.6969200000000002E-2</v>
      </c>
      <c r="J19" s="3">
        <f t="shared" si="6"/>
        <v>0.17213389400000001</v>
      </c>
      <c r="K19" s="4">
        <f t="shared" si="4"/>
        <v>1.1475592933333334</v>
      </c>
      <c r="L19" s="4">
        <f t="shared" si="5"/>
        <v>4</v>
      </c>
    </row>
    <row r="20" spans="1:12" x14ac:dyDescent="0.25">
      <c r="A20" s="1">
        <v>1</v>
      </c>
      <c r="B20" s="1">
        <v>19</v>
      </c>
      <c r="C20" s="1" t="s">
        <v>54</v>
      </c>
      <c r="D20" s="1" t="s">
        <v>55</v>
      </c>
      <c r="E20" s="1" t="s">
        <v>52</v>
      </c>
      <c r="F20" s="1">
        <v>18</v>
      </c>
      <c r="G20">
        <v>9</v>
      </c>
      <c r="H20" s="3">
        <f t="shared" si="1"/>
        <v>2.5446959999999998E-2</v>
      </c>
      <c r="I20" s="4">
        <f t="shared" si="2"/>
        <v>0.12723479999999998</v>
      </c>
      <c r="J20" s="3">
        <f t="shared" si="6"/>
        <v>0.24392835000000002</v>
      </c>
      <c r="K20" s="4">
        <f t="shared" si="4"/>
        <v>1.6261890000000001</v>
      </c>
      <c r="L20" s="4">
        <f t="shared" si="5"/>
        <v>4</v>
      </c>
    </row>
    <row r="21" spans="1:12" x14ac:dyDescent="0.25">
      <c r="A21" s="1">
        <v>1</v>
      </c>
      <c r="B21" s="1">
        <v>20</v>
      </c>
      <c r="C21" s="1" t="s">
        <v>54</v>
      </c>
      <c r="D21" s="1" t="s">
        <v>55</v>
      </c>
      <c r="E21" s="1" t="s">
        <v>52</v>
      </c>
      <c r="F21" s="1">
        <v>10</v>
      </c>
      <c r="G21">
        <v>5</v>
      </c>
      <c r="H21" s="3">
        <f t="shared" si="1"/>
        <v>7.8540000000000016E-3</v>
      </c>
      <c r="I21" s="4">
        <f t="shared" si="2"/>
        <v>3.9270000000000006E-2</v>
      </c>
      <c r="J21" s="3">
        <f t="shared" si="6"/>
        <v>0.13158676599999999</v>
      </c>
      <c r="K21" s="4">
        <f t="shared" si="4"/>
        <v>0.87724510666666666</v>
      </c>
      <c r="L21" s="4">
        <f t="shared" si="5"/>
        <v>4</v>
      </c>
    </row>
    <row r="22" spans="1:12" s="1" customFormat="1" x14ac:dyDescent="0.25">
      <c r="A22" s="1">
        <v>1</v>
      </c>
      <c r="B22" s="1">
        <v>21</v>
      </c>
      <c r="C22" s="1" t="s">
        <v>54</v>
      </c>
      <c r="D22" s="1" t="s">
        <v>55</v>
      </c>
      <c r="E22" s="1" t="s">
        <v>52</v>
      </c>
      <c r="F22" s="1">
        <v>14</v>
      </c>
      <c r="G22" s="1">
        <v>6</v>
      </c>
      <c r="H22" s="3">
        <f t="shared" si="1"/>
        <v>1.5393840000000002E-2</v>
      </c>
      <c r="I22" s="4">
        <f t="shared" si="2"/>
        <v>7.6969200000000002E-2</v>
      </c>
      <c r="J22" s="3">
        <f t="shared" si="6"/>
        <v>0.16302009000000001</v>
      </c>
      <c r="K22" s="4">
        <f t="shared" si="4"/>
        <v>1.0868006000000001</v>
      </c>
      <c r="L22" s="4">
        <f>1*1/0.25</f>
        <v>4</v>
      </c>
    </row>
    <row r="23" spans="1:12" x14ac:dyDescent="0.25">
      <c r="A23">
        <v>2</v>
      </c>
      <c r="B23">
        <v>1</v>
      </c>
      <c r="C23" s="1" t="s">
        <v>54</v>
      </c>
      <c r="D23" s="1" t="s">
        <v>55</v>
      </c>
      <c r="E23" s="1" t="s">
        <v>53</v>
      </c>
      <c r="F23" s="1">
        <v>24</v>
      </c>
      <c r="G23">
        <v>13</v>
      </c>
      <c r="H23" s="3">
        <f t="shared" si="1"/>
        <v>4.5239040000000001E-2</v>
      </c>
      <c r="I23" s="4">
        <f t="shared" ref="I23:I120" si="7">H23*1/0.15</f>
        <v>0.30159360000000002</v>
      </c>
      <c r="J23" s="3">
        <f t="shared" si="6"/>
        <v>0.45652177799999999</v>
      </c>
      <c r="K23" s="4">
        <f t="shared" si="4"/>
        <v>3.0434785199999999</v>
      </c>
      <c r="L23" s="4">
        <f>1*1/0.25</f>
        <v>4</v>
      </c>
    </row>
    <row r="24" spans="1:12" x14ac:dyDescent="0.25">
      <c r="A24">
        <v>2</v>
      </c>
      <c r="B24">
        <v>2</v>
      </c>
      <c r="C24" s="1" t="s">
        <v>54</v>
      </c>
      <c r="D24" s="1" t="s">
        <v>55</v>
      </c>
      <c r="E24" s="1" t="s">
        <v>52</v>
      </c>
      <c r="F24" s="1">
        <v>16</v>
      </c>
      <c r="G24">
        <v>10</v>
      </c>
      <c r="H24" s="3">
        <f t="shared" si="1"/>
        <v>2.0106240000000001E-2</v>
      </c>
      <c r="I24" s="4">
        <f t="shared" si="7"/>
        <v>0.13404160000000001</v>
      </c>
      <c r="J24" s="3">
        <f t="shared" si="6"/>
        <v>0.22737470600000001</v>
      </c>
      <c r="K24" s="4">
        <f t="shared" si="4"/>
        <v>1.5158313733333335</v>
      </c>
      <c r="L24" s="4">
        <f t="shared" ref="L24:L32" si="8">1*1/0.25</f>
        <v>4</v>
      </c>
    </row>
    <row r="25" spans="1:12" x14ac:dyDescent="0.25">
      <c r="A25" s="1">
        <v>2</v>
      </c>
      <c r="B25" s="1">
        <v>3</v>
      </c>
      <c r="C25" s="1" t="s">
        <v>54</v>
      </c>
      <c r="D25" s="1" t="s">
        <v>55</v>
      </c>
      <c r="E25" s="1" t="s">
        <v>53</v>
      </c>
      <c r="F25" s="1">
        <v>24</v>
      </c>
      <c r="G25">
        <v>15</v>
      </c>
      <c r="H25" s="3">
        <f t="shared" si="1"/>
        <v>4.5239040000000001E-2</v>
      </c>
      <c r="I25" s="4">
        <f t="shared" si="7"/>
        <v>0.30159360000000002</v>
      </c>
      <c r="J25" s="3">
        <f t="shared" si="6"/>
        <v>0.51008862600000004</v>
      </c>
      <c r="K25" s="4">
        <f t="shared" si="4"/>
        <v>3.4005908400000004</v>
      </c>
      <c r="L25" s="4">
        <f t="shared" si="8"/>
        <v>4</v>
      </c>
    </row>
    <row r="26" spans="1:12" x14ac:dyDescent="0.25">
      <c r="A26" s="1">
        <v>2</v>
      </c>
      <c r="B26" s="1">
        <v>4</v>
      </c>
      <c r="C26" s="1" t="s">
        <v>54</v>
      </c>
      <c r="D26" s="1" t="s">
        <v>55</v>
      </c>
      <c r="E26" s="1" t="s">
        <v>52</v>
      </c>
      <c r="F26" s="1">
        <v>17</v>
      </c>
      <c r="G26">
        <v>9</v>
      </c>
      <c r="H26" s="3">
        <f t="shared" si="1"/>
        <v>2.2698060000000003E-2</v>
      </c>
      <c r="I26" s="4">
        <f t="shared" si="7"/>
        <v>0.15132040000000002</v>
      </c>
      <c r="J26" s="3">
        <f t="shared" si="6"/>
        <v>0.22928116500000001</v>
      </c>
      <c r="K26" s="4">
        <f t="shared" si="4"/>
        <v>1.5285411000000002</v>
      </c>
      <c r="L26" s="4">
        <f t="shared" si="8"/>
        <v>4</v>
      </c>
    </row>
    <row r="27" spans="1:12" x14ac:dyDescent="0.25">
      <c r="A27" s="1">
        <v>2</v>
      </c>
      <c r="B27" s="1">
        <v>5</v>
      </c>
      <c r="C27" s="1" t="s">
        <v>54</v>
      </c>
      <c r="D27" s="1" t="s">
        <v>55</v>
      </c>
      <c r="E27" s="1" t="s">
        <v>52</v>
      </c>
      <c r="F27" s="1">
        <v>12</v>
      </c>
      <c r="G27">
        <v>5</v>
      </c>
      <c r="H27" s="3">
        <f t="shared" ref="H27:H48" si="9">0.7854*(F27/100)^2</f>
        <v>1.130976E-2</v>
      </c>
      <c r="I27" s="4">
        <f t="shared" si="7"/>
        <v>7.5398400000000004E-2</v>
      </c>
      <c r="J27" s="3">
        <f t="shared" ref="J27:J48" si="10">(0.108337266+0.000046499*(F27^2*G27))</f>
        <v>0.14181654599999999</v>
      </c>
      <c r="K27" s="4">
        <f t="shared" si="4"/>
        <v>0.94544363999999992</v>
      </c>
      <c r="L27" s="4">
        <f t="shared" si="8"/>
        <v>4</v>
      </c>
    </row>
    <row r="28" spans="1:12" x14ac:dyDescent="0.25">
      <c r="A28" s="1">
        <v>2</v>
      </c>
      <c r="B28" s="1">
        <v>6</v>
      </c>
      <c r="C28" s="1" t="s">
        <v>54</v>
      </c>
      <c r="D28" s="1" t="s">
        <v>55</v>
      </c>
      <c r="E28" s="1" t="s">
        <v>52</v>
      </c>
      <c r="F28" s="1">
        <v>16</v>
      </c>
      <c r="G28">
        <v>7</v>
      </c>
      <c r="H28" s="3">
        <f t="shared" si="9"/>
        <v>2.0106240000000001E-2</v>
      </c>
      <c r="I28" s="4">
        <f t="shared" si="7"/>
        <v>0.13404160000000001</v>
      </c>
      <c r="J28" s="3">
        <f t="shared" si="10"/>
        <v>0.191663474</v>
      </c>
      <c r="K28" s="4">
        <f t="shared" si="4"/>
        <v>1.2777564933333334</v>
      </c>
      <c r="L28" s="4">
        <f t="shared" si="8"/>
        <v>4</v>
      </c>
    </row>
    <row r="29" spans="1:12" x14ac:dyDescent="0.25">
      <c r="A29" s="1">
        <v>2</v>
      </c>
      <c r="B29" s="1">
        <v>7</v>
      </c>
      <c r="C29" s="1" t="s">
        <v>54</v>
      </c>
      <c r="D29" s="1" t="s">
        <v>55</v>
      </c>
      <c r="E29" s="1" t="s">
        <v>52</v>
      </c>
      <c r="F29" s="1">
        <v>14</v>
      </c>
      <c r="G29">
        <v>6</v>
      </c>
      <c r="H29" s="3">
        <f t="shared" si="9"/>
        <v>1.5393840000000002E-2</v>
      </c>
      <c r="I29" s="4">
        <f t="shared" si="7"/>
        <v>0.10262560000000003</v>
      </c>
      <c r="J29" s="3">
        <f t="shared" si="10"/>
        <v>0.16302009000000001</v>
      </c>
      <c r="K29" s="4">
        <f t="shared" si="4"/>
        <v>1.0868006000000001</v>
      </c>
      <c r="L29" s="4">
        <f t="shared" si="8"/>
        <v>4</v>
      </c>
    </row>
    <row r="30" spans="1:12" x14ac:dyDescent="0.25">
      <c r="A30" s="1">
        <v>2</v>
      </c>
      <c r="B30" s="1">
        <v>8</v>
      </c>
      <c r="C30" s="1" t="s">
        <v>54</v>
      </c>
      <c r="D30" s="1" t="s">
        <v>55</v>
      </c>
      <c r="E30" s="1" t="s">
        <v>52</v>
      </c>
      <c r="F30" s="1">
        <v>12</v>
      </c>
      <c r="G30">
        <v>5</v>
      </c>
      <c r="H30" s="3">
        <f t="shared" si="9"/>
        <v>1.130976E-2</v>
      </c>
      <c r="I30" s="4">
        <f t="shared" si="7"/>
        <v>7.5398400000000004E-2</v>
      </c>
      <c r="J30" s="3">
        <f t="shared" si="10"/>
        <v>0.14181654599999999</v>
      </c>
      <c r="K30" s="4">
        <f t="shared" si="4"/>
        <v>0.94544363999999992</v>
      </c>
      <c r="L30" s="4">
        <f t="shared" si="8"/>
        <v>4</v>
      </c>
    </row>
    <row r="31" spans="1:12" x14ac:dyDescent="0.25">
      <c r="A31" s="1">
        <v>2</v>
      </c>
      <c r="B31" s="1">
        <v>9</v>
      </c>
      <c r="C31" s="1" t="s">
        <v>54</v>
      </c>
      <c r="D31" s="1" t="s">
        <v>55</v>
      </c>
      <c r="E31" s="1" t="s">
        <v>52</v>
      </c>
      <c r="F31" s="1">
        <v>16</v>
      </c>
      <c r="G31">
        <v>7</v>
      </c>
      <c r="H31" s="3">
        <f t="shared" si="9"/>
        <v>2.0106240000000001E-2</v>
      </c>
      <c r="I31" s="4">
        <f t="shared" si="7"/>
        <v>0.13404160000000001</v>
      </c>
      <c r="J31" s="3">
        <f t="shared" si="10"/>
        <v>0.191663474</v>
      </c>
      <c r="K31" s="4">
        <f t="shared" si="4"/>
        <v>1.2777564933333334</v>
      </c>
      <c r="L31" s="4">
        <f>1*1/0.25</f>
        <v>4</v>
      </c>
    </row>
    <row r="32" spans="1:12" x14ac:dyDescent="0.25">
      <c r="A32" s="1">
        <v>2</v>
      </c>
      <c r="B32" s="1">
        <v>10</v>
      </c>
      <c r="C32" s="1" t="s">
        <v>54</v>
      </c>
      <c r="D32" s="1" t="s">
        <v>55</v>
      </c>
      <c r="E32" s="1" t="s">
        <v>52</v>
      </c>
      <c r="F32" s="1">
        <v>17</v>
      </c>
      <c r="G32">
        <v>9</v>
      </c>
      <c r="H32" s="3">
        <f t="shared" si="9"/>
        <v>2.2698060000000003E-2</v>
      </c>
      <c r="I32" s="4">
        <f t="shared" si="7"/>
        <v>0.15132040000000002</v>
      </c>
      <c r="J32" s="3">
        <f t="shared" si="10"/>
        <v>0.22928116500000001</v>
      </c>
      <c r="K32" s="4">
        <f t="shared" si="4"/>
        <v>1.5285411000000002</v>
      </c>
      <c r="L32" s="4">
        <f t="shared" si="8"/>
        <v>4</v>
      </c>
    </row>
    <row r="33" spans="1:12" s="1" customFormat="1" x14ac:dyDescent="0.25">
      <c r="A33" s="1">
        <v>2</v>
      </c>
      <c r="B33" s="1">
        <v>11</v>
      </c>
      <c r="C33" s="1" t="s">
        <v>54</v>
      </c>
      <c r="D33" s="1" t="s">
        <v>55</v>
      </c>
      <c r="E33" s="1" t="s">
        <v>52</v>
      </c>
      <c r="F33" s="1">
        <v>12</v>
      </c>
      <c r="G33" s="1">
        <v>5</v>
      </c>
      <c r="H33" s="3">
        <f t="shared" si="9"/>
        <v>1.130976E-2</v>
      </c>
      <c r="I33" s="4">
        <f t="shared" si="7"/>
        <v>7.5398400000000004E-2</v>
      </c>
      <c r="J33" s="3">
        <f t="shared" si="10"/>
        <v>0.14181654599999999</v>
      </c>
      <c r="K33" s="4">
        <f t="shared" si="4"/>
        <v>0.94544363999999992</v>
      </c>
      <c r="L33" s="4">
        <f>1*1/0.25</f>
        <v>4</v>
      </c>
    </row>
    <row r="34" spans="1:12" s="1" customFormat="1" x14ac:dyDescent="0.25">
      <c r="A34" s="1">
        <v>2</v>
      </c>
      <c r="B34" s="1">
        <v>12</v>
      </c>
      <c r="C34" s="1" t="s">
        <v>54</v>
      </c>
      <c r="D34" s="1" t="s">
        <v>55</v>
      </c>
      <c r="E34" s="1" t="s">
        <v>52</v>
      </c>
      <c r="F34" s="1">
        <v>13</v>
      </c>
      <c r="G34" s="1">
        <v>6</v>
      </c>
      <c r="H34" s="3">
        <f t="shared" si="9"/>
        <v>1.3273260000000002E-2</v>
      </c>
      <c r="I34" s="4">
        <f t="shared" si="7"/>
        <v>8.8488400000000023E-2</v>
      </c>
      <c r="J34" s="3">
        <f t="shared" si="10"/>
        <v>0.15548725200000002</v>
      </c>
      <c r="K34" s="4">
        <f t="shared" si="4"/>
        <v>1.0365816800000003</v>
      </c>
      <c r="L34" s="4">
        <f t="shared" ref="L34:L48" si="11">1*1/0.25</f>
        <v>4</v>
      </c>
    </row>
    <row r="35" spans="1:12" s="1" customFormat="1" x14ac:dyDescent="0.25">
      <c r="A35" s="1">
        <v>2</v>
      </c>
      <c r="B35" s="1">
        <v>13</v>
      </c>
      <c r="C35" s="1" t="s">
        <v>54</v>
      </c>
      <c r="D35" s="1" t="s">
        <v>55</v>
      </c>
      <c r="E35" s="1" t="s">
        <v>52</v>
      </c>
      <c r="F35" s="1">
        <v>14</v>
      </c>
      <c r="G35" s="1">
        <v>7</v>
      </c>
      <c r="H35" s="3">
        <f t="shared" si="9"/>
        <v>1.5393840000000002E-2</v>
      </c>
      <c r="I35" s="4">
        <f t="shared" si="7"/>
        <v>0.10262560000000003</v>
      </c>
      <c r="J35" s="3">
        <f t="shared" si="10"/>
        <v>0.17213389400000001</v>
      </c>
      <c r="K35" s="4">
        <f t="shared" si="4"/>
        <v>1.1475592933333334</v>
      </c>
      <c r="L35" s="4">
        <f t="shared" si="11"/>
        <v>4</v>
      </c>
    </row>
    <row r="36" spans="1:12" s="1" customFormat="1" x14ac:dyDescent="0.25">
      <c r="A36" s="1">
        <v>2</v>
      </c>
      <c r="B36" s="1">
        <v>14</v>
      </c>
      <c r="C36" s="1" t="s">
        <v>54</v>
      </c>
      <c r="D36" s="1" t="s">
        <v>55</v>
      </c>
      <c r="E36" s="1" t="s">
        <v>52</v>
      </c>
      <c r="F36" s="1">
        <v>15</v>
      </c>
      <c r="G36" s="1">
        <v>7</v>
      </c>
      <c r="H36" s="3">
        <f t="shared" si="9"/>
        <v>1.76715E-2</v>
      </c>
      <c r="I36" s="4">
        <f t="shared" si="7"/>
        <v>0.11781</v>
      </c>
      <c r="J36" s="3">
        <f t="shared" si="10"/>
        <v>0.18157319100000002</v>
      </c>
      <c r="K36" s="4">
        <f t="shared" si="4"/>
        <v>1.2104879400000002</v>
      </c>
      <c r="L36" s="4">
        <f t="shared" si="11"/>
        <v>4</v>
      </c>
    </row>
    <row r="37" spans="1:12" s="1" customFormat="1" x14ac:dyDescent="0.25">
      <c r="A37" s="1">
        <v>2</v>
      </c>
      <c r="B37" s="1">
        <v>15</v>
      </c>
      <c r="C37" s="1" t="s">
        <v>54</v>
      </c>
      <c r="D37" s="1" t="s">
        <v>55</v>
      </c>
      <c r="E37" s="1" t="s">
        <v>52</v>
      </c>
      <c r="F37" s="1">
        <v>14</v>
      </c>
      <c r="G37" s="1">
        <v>7</v>
      </c>
      <c r="H37" s="3">
        <f t="shared" si="9"/>
        <v>1.5393840000000002E-2</v>
      </c>
      <c r="I37" s="4">
        <f t="shared" si="7"/>
        <v>0.10262560000000003</v>
      </c>
      <c r="J37" s="3">
        <f t="shared" si="10"/>
        <v>0.17213389400000001</v>
      </c>
      <c r="K37" s="4">
        <f t="shared" si="4"/>
        <v>1.1475592933333334</v>
      </c>
      <c r="L37" s="4">
        <f t="shared" si="11"/>
        <v>4</v>
      </c>
    </row>
    <row r="38" spans="1:12" s="1" customFormat="1" x14ac:dyDescent="0.25">
      <c r="A38" s="1">
        <v>2</v>
      </c>
      <c r="B38" s="1">
        <v>16</v>
      </c>
      <c r="C38" s="1" t="s">
        <v>54</v>
      </c>
      <c r="D38" s="1" t="s">
        <v>55</v>
      </c>
      <c r="E38" s="1" t="s">
        <v>52</v>
      </c>
      <c r="F38" s="1">
        <v>13</v>
      </c>
      <c r="G38" s="1">
        <v>6</v>
      </c>
      <c r="H38" s="3">
        <f t="shared" si="9"/>
        <v>1.3273260000000002E-2</v>
      </c>
      <c r="I38" s="4">
        <f t="shared" si="7"/>
        <v>8.8488400000000023E-2</v>
      </c>
      <c r="J38" s="3">
        <f t="shared" si="10"/>
        <v>0.15548725200000002</v>
      </c>
      <c r="K38" s="4">
        <f t="shared" si="4"/>
        <v>1.0365816800000003</v>
      </c>
      <c r="L38" s="4">
        <f t="shared" si="11"/>
        <v>4</v>
      </c>
    </row>
    <row r="39" spans="1:12" s="1" customFormat="1" x14ac:dyDescent="0.25">
      <c r="A39" s="1">
        <v>2</v>
      </c>
      <c r="B39" s="1">
        <v>17</v>
      </c>
      <c r="C39" s="1" t="s">
        <v>54</v>
      </c>
      <c r="D39" s="1" t="s">
        <v>55</v>
      </c>
      <c r="E39" s="1" t="s">
        <v>52</v>
      </c>
      <c r="F39" s="1">
        <v>17</v>
      </c>
      <c r="G39" s="1">
        <v>8</v>
      </c>
      <c r="H39" s="3">
        <f t="shared" si="9"/>
        <v>2.2698060000000003E-2</v>
      </c>
      <c r="I39" s="4">
        <f t="shared" si="7"/>
        <v>0.15132040000000002</v>
      </c>
      <c r="J39" s="3">
        <f t="shared" si="10"/>
        <v>0.215842954</v>
      </c>
      <c r="K39" s="4">
        <f t="shared" si="4"/>
        <v>1.4389530266666668</v>
      </c>
      <c r="L39" s="4">
        <f t="shared" si="11"/>
        <v>4</v>
      </c>
    </row>
    <row r="40" spans="1:12" s="1" customFormat="1" x14ac:dyDescent="0.25">
      <c r="A40" s="1">
        <v>2</v>
      </c>
      <c r="B40" s="1">
        <v>18</v>
      </c>
      <c r="C40" s="1" t="s">
        <v>54</v>
      </c>
      <c r="D40" s="1" t="s">
        <v>55</v>
      </c>
      <c r="E40" s="1" t="s">
        <v>53</v>
      </c>
      <c r="F40" s="1">
        <v>21</v>
      </c>
      <c r="G40" s="1">
        <v>10</v>
      </c>
      <c r="H40" s="3">
        <f t="shared" si="9"/>
        <v>3.4636139999999996E-2</v>
      </c>
      <c r="I40" s="4">
        <f t="shared" si="7"/>
        <v>0.23090759999999999</v>
      </c>
      <c r="J40" s="3">
        <f t="shared" si="10"/>
        <v>0.31339785600000003</v>
      </c>
      <c r="K40" s="4">
        <f t="shared" si="4"/>
        <v>2.0893190400000003</v>
      </c>
      <c r="L40" s="4">
        <f t="shared" si="11"/>
        <v>4</v>
      </c>
    </row>
    <row r="41" spans="1:12" s="1" customFormat="1" x14ac:dyDescent="0.25">
      <c r="A41" s="1">
        <v>2</v>
      </c>
      <c r="B41" s="1">
        <v>19</v>
      </c>
      <c r="C41" s="1" t="s">
        <v>54</v>
      </c>
      <c r="D41" s="1" t="s">
        <v>55</v>
      </c>
      <c r="E41" s="1" t="s">
        <v>53</v>
      </c>
      <c r="F41" s="1">
        <v>22</v>
      </c>
      <c r="G41" s="1">
        <v>10</v>
      </c>
      <c r="H41" s="3">
        <f t="shared" si="9"/>
        <v>3.8013359999999996E-2</v>
      </c>
      <c r="I41" s="4">
        <f t="shared" si="7"/>
        <v>0.25342239999999999</v>
      </c>
      <c r="J41" s="3">
        <f t="shared" si="10"/>
        <v>0.33339242600000002</v>
      </c>
      <c r="K41" s="4">
        <f t="shared" si="4"/>
        <v>2.2226161733333334</v>
      </c>
      <c r="L41" s="4">
        <f>1*1/0.25</f>
        <v>4</v>
      </c>
    </row>
    <row r="42" spans="1:12" s="1" customFormat="1" x14ac:dyDescent="0.25">
      <c r="A42" s="1">
        <v>2</v>
      </c>
      <c r="B42" s="1">
        <v>20</v>
      </c>
      <c r="C42" s="1" t="s">
        <v>54</v>
      </c>
      <c r="D42" s="1" t="s">
        <v>55</v>
      </c>
      <c r="E42" s="1" t="s">
        <v>53</v>
      </c>
      <c r="F42" s="1">
        <v>20</v>
      </c>
      <c r="G42" s="1">
        <v>10</v>
      </c>
      <c r="H42" s="3">
        <f t="shared" si="9"/>
        <v>3.1416000000000006E-2</v>
      </c>
      <c r="I42" s="4">
        <f t="shared" si="7"/>
        <v>0.20944000000000004</v>
      </c>
      <c r="J42" s="3">
        <f t="shared" si="10"/>
        <v>0.29433326600000004</v>
      </c>
      <c r="K42" s="4">
        <f t="shared" si="4"/>
        <v>1.9622217733333336</v>
      </c>
      <c r="L42" s="4">
        <f t="shared" si="11"/>
        <v>4</v>
      </c>
    </row>
    <row r="43" spans="1:12" s="1" customFormat="1" x14ac:dyDescent="0.25">
      <c r="A43" s="1">
        <v>2</v>
      </c>
      <c r="B43" s="1">
        <v>21</v>
      </c>
      <c r="C43" s="1" t="s">
        <v>54</v>
      </c>
      <c r="D43" s="1" t="s">
        <v>55</v>
      </c>
      <c r="E43" s="1" t="s">
        <v>52</v>
      </c>
      <c r="F43" s="1">
        <v>18</v>
      </c>
      <c r="G43" s="1">
        <v>10</v>
      </c>
      <c r="H43" s="3">
        <f t="shared" si="9"/>
        <v>2.5446959999999998E-2</v>
      </c>
      <c r="I43" s="4">
        <f t="shared" si="7"/>
        <v>0.1696464</v>
      </c>
      <c r="J43" s="3">
        <f t="shared" si="10"/>
        <v>0.25899402599999999</v>
      </c>
      <c r="K43" s="4">
        <f t="shared" si="4"/>
        <v>1.72662684</v>
      </c>
      <c r="L43" s="4">
        <f t="shared" si="11"/>
        <v>4</v>
      </c>
    </row>
    <row r="44" spans="1:12" s="1" customFormat="1" x14ac:dyDescent="0.25">
      <c r="A44" s="1">
        <v>2</v>
      </c>
      <c r="B44" s="1">
        <v>22</v>
      </c>
      <c r="C44" s="1" t="s">
        <v>54</v>
      </c>
      <c r="D44" s="1" t="s">
        <v>55</v>
      </c>
      <c r="E44" s="1" t="s">
        <v>52</v>
      </c>
      <c r="F44" s="1">
        <v>18</v>
      </c>
      <c r="G44" s="1">
        <v>10</v>
      </c>
      <c r="H44" s="3">
        <f t="shared" si="9"/>
        <v>2.5446959999999998E-2</v>
      </c>
      <c r="I44" s="4">
        <f t="shared" si="7"/>
        <v>0.1696464</v>
      </c>
      <c r="J44" s="3">
        <f t="shared" si="10"/>
        <v>0.25899402599999999</v>
      </c>
      <c r="K44" s="4">
        <f t="shared" si="4"/>
        <v>1.72662684</v>
      </c>
      <c r="L44" s="4">
        <f t="shared" si="11"/>
        <v>4</v>
      </c>
    </row>
    <row r="45" spans="1:12" s="1" customFormat="1" x14ac:dyDescent="0.25">
      <c r="A45" s="1">
        <v>2</v>
      </c>
      <c r="B45" s="1">
        <v>23</v>
      </c>
      <c r="C45" s="1" t="s">
        <v>54</v>
      </c>
      <c r="D45" s="1" t="s">
        <v>55</v>
      </c>
      <c r="E45" s="1" t="s">
        <v>59</v>
      </c>
      <c r="F45" s="1">
        <v>31</v>
      </c>
      <c r="G45" s="1">
        <v>15</v>
      </c>
      <c r="H45" s="3">
        <f t="shared" si="9"/>
        <v>7.5476940000000006E-2</v>
      </c>
      <c r="I45" s="4">
        <f t="shared" si="7"/>
        <v>0.50317960000000006</v>
      </c>
      <c r="J45" s="3">
        <f t="shared" si="10"/>
        <v>0.77862035100000004</v>
      </c>
      <c r="K45" s="4">
        <f t="shared" si="4"/>
        <v>5.1908023400000003</v>
      </c>
      <c r="L45" s="4">
        <f t="shared" si="11"/>
        <v>4</v>
      </c>
    </row>
    <row r="46" spans="1:12" s="1" customFormat="1" x14ac:dyDescent="0.25">
      <c r="A46" s="1">
        <v>2</v>
      </c>
      <c r="B46" s="1">
        <v>24</v>
      </c>
      <c r="C46" s="1" t="s">
        <v>54</v>
      </c>
      <c r="D46" s="1" t="s">
        <v>55</v>
      </c>
      <c r="E46" s="1" t="s">
        <v>52</v>
      </c>
      <c r="F46" s="1">
        <v>18</v>
      </c>
      <c r="G46" s="1">
        <v>8</v>
      </c>
      <c r="H46" s="3">
        <f t="shared" si="9"/>
        <v>2.5446959999999998E-2</v>
      </c>
      <c r="I46" s="4">
        <f t="shared" si="7"/>
        <v>0.1696464</v>
      </c>
      <c r="J46" s="3">
        <f t="shared" si="10"/>
        <v>0.22886267400000002</v>
      </c>
      <c r="K46" s="4">
        <f t="shared" si="4"/>
        <v>1.5257511600000002</v>
      </c>
      <c r="L46" s="4">
        <f t="shared" si="11"/>
        <v>4</v>
      </c>
    </row>
    <row r="47" spans="1:12" s="1" customFormat="1" x14ac:dyDescent="0.25">
      <c r="A47" s="1">
        <v>2</v>
      </c>
      <c r="B47" s="1">
        <v>25</v>
      </c>
      <c r="C47" s="1" t="s">
        <v>54</v>
      </c>
      <c r="D47" s="1" t="s">
        <v>55</v>
      </c>
      <c r="E47" s="1" t="s">
        <v>53</v>
      </c>
      <c r="F47" s="1">
        <v>27</v>
      </c>
      <c r="G47" s="1">
        <v>9</v>
      </c>
      <c r="H47" s="3">
        <f t="shared" si="9"/>
        <v>5.7255660000000007E-2</v>
      </c>
      <c r="I47" s="4">
        <f t="shared" si="7"/>
        <v>0.38170440000000005</v>
      </c>
      <c r="J47" s="3">
        <f t="shared" si="10"/>
        <v>0.41341720500000001</v>
      </c>
      <c r="K47" s="4">
        <f t="shared" si="4"/>
        <v>2.7561147000000004</v>
      </c>
      <c r="L47" s="4">
        <f t="shared" si="11"/>
        <v>4</v>
      </c>
    </row>
    <row r="48" spans="1:12" s="1" customFormat="1" x14ac:dyDescent="0.25">
      <c r="A48" s="1">
        <v>2</v>
      </c>
      <c r="B48" s="1">
        <v>26</v>
      </c>
      <c r="C48" s="1" t="s">
        <v>54</v>
      </c>
      <c r="D48" s="1" t="s">
        <v>55</v>
      </c>
      <c r="E48" s="1" t="s">
        <v>52</v>
      </c>
      <c r="F48" s="1">
        <v>16</v>
      </c>
      <c r="G48" s="1">
        <v>10</v>
      </c>
      <c r="H48" s="3">
        <f t="shared" si="9"/>
        <v>2.0106240000000001E-2</v>
      </c>
      <c r="I48" s="4">
        <f t="shared" si="7"/>
        <v>0.13404160000000001</v>
      </c>
      <c r="J48" s="3">
        <f t="shared" si="10"/>
        <v>0.22737470600000001</v>
      </c>
      <c r="K48" s="4">
        <f t="shared" si="4"/>
        <v>1.5158313733333335</v>
      </c>
      <c r="L48" s="4">
        <f t="shared" si="11"/>
        <v>4</v>
      </c>
    </row>
    <row r="49" spans="1:12" x14ac:dyDescent="0.25">
      <c r="A49">
        <v>3</v>
      </c>
      <c r="B49">
        <v>1</v>
      </c>
      <c r="C49" s="1" t="s">
        <v>54</v>
      </c>
      <c r="D49" s="1" t="s">
        <v>55</v>
      </c>
      <c r="E49" s="1" t="s">
        <v>53</v>
      </c>
      <c r="F49" s="1">
        <v>26</v>
      </c>
      <c r="G49">
        <v>8</v>
      </c>
      <c r="H49" s="3">
        <f t="shared" si="1"/>
        <v>5.3093040000000008E-2</v>
      </c>
      <c r="I49" s="4">
        <f t="shared" si="7"/>
        <v>0.35395360000000009</v>
      </c>
      <c r="J49" s="3">
        <f t="shared" si="6"/>
        <v>0.35980385800000003</v>
      </c>
      <c r="K49" s="4">
        <f t="shared" si="4"/>
        <v>2.3986923866666672</v>
      </c>
      <c r="L49" s="4">
        <f>1*1/0.25</f>
        <v>4</v>
      </c>
    </row>
    <row r="50" spans="1:12" x14ac:dyDescent="0.25">
      <c r="A50">
        <v>3</v>
      </c>
      <c r="B50">
        <v>2</v>
      </c>
      <c r="C50" s="1" t="s">
        <v>54</v>
      </c>
      <c r="D50" s="1" t="s">
        <v>55</v>
      </c>
      <c r="E50" s="1" t="s">
        <v>53</v>
      </c>
      <c r="F50" s="1">
        <v>29</v>
      </c>
      <c r="G50">
        <v>9</v>
      </c>
      <c r="H50" s="3">
        <f t="shared" si="1"/>
        <v>6.6052139999999995E-2</v>
      </c>
      <c r="I50" s="4">
        <f t="shared" si="7"/>
        <v>0.44034760000000001</v>
      </c>
      <c r="J50" s="3">
        <f t="shared" si="6"/>
        <v>0.46028819700000001</v>
      </c>
      <c r="K50" s="4">
        <f t="shared" si="4"/>
        <v>3.0685879800000002</v>
      </c>
      <c r="L50" s="4">
        <f t="shared" ref="L50:L67" si="12">1*1/0.25</f>
        <v>4</v>
      </c>
    </row>
    <row r="51" spans="1:12" x14ac:dyDescent="0.25">
      <c r="A51" s="1">
        <v>3</v>
      </c>
      <c r="B51" s="1">
        <v>3</v>
      </c>
      <c r="C51" s="1" t="s">
        <v>54</v>
      </c>
      <c r="D51" s="1" t="s">
        <v>55</v>
      </c>
      <c r="E51" s="1" t="s">
        <v>52</v>
      </c>
      <c r="F51" s="1">
        <v>15</v>
      </c>
      <c r="G51">
        <v>8</v>
      </c>
      <c r="H51" s="3">
        <f t="shared" si="1"/>
        <v>1.76715E-2</v>
      </c>
      <c r="I51" s="4">
        <f t="shared" si="7"/>
        <v>0.11781</v>
      </c>
      <c r="J51" s="3">
        <f t="shared" si="6"/>
        <v>0.19203546599999999</v>
      </c>
      <c r="K51" s="4">
        <f t="shared" si="4"/>
        <v>1.2802364399999999</v>
      </c>
      <c r="L51" s="4">
        <f t="shared" si="12"/>
        <v>4</v>
      </c>
    </row>
    <row r="52" spans="1:12" x14ac:dyDescent="0.25">
      <c r="A52" s="1">
        <v>3</v>
      </c>
      <c r="B52" s="1">
        <v>4</v>
      </c>
      <c r="C52" s="1" t="s">
        <v>54</v>
      </c>
      <c r="D52" s="1" t="s">
        <v>55</v>
      </c>
      <c r="E52" s="1" t="s">
        <v>52</v>
      </c>
      <c r="F52" s="1">
        <v>13</v>
      </c>
      <c r="G52">
        <v>7</v>
      </c>
      <c r="H52" s="3">
        <f t="shared" si="1"/>
        <v>1.3273260000000002E-2</v>
      </c>
      <c r="I52" s="4">
        <f t="shared" si="7"/>
        <v>8.8488400000000023E-2</v>
      </c>
      <c r="J52" s="3">
        <f t="shared" si="6"/>
        <v>0.16334558300000002</v>
      </c>
      <c r="K52" s="4">
        <f t="shared" si="4"/>
        <v>1.0889705533333336</v>
      </c>
      <c r="L52" s="4">
        <f t="shared" si="12"/>
        <v>4</v>
      </c>
    </row>
    <row r="53" spans="1:12" x14ac:dyDescent="0.25">
      <c r="A53" s="1">
        <v>3</v>
      </c>
      <c r="B53" s="1">
        <v>5</v>
      </c>
      <c r="C53" s="1" t="s">
        <v>54</v>
      </c>
      <c r="D53" s="1" t="s">
        <v>55</v>
      </c>
      <c r="E53" s="1" t="s">
        <v>53</v>
      </c>
      <c r="F53" s="1">
        <v>27</v>
      </c>
      <c r="G53">
        <v>12</v>
      </c>
      <c r="H53" s="3">
        <f t="shared" si="1"/>
        <v>5.7255660000000007E-2</v>
      </c>
      <c r="I53" s="4">
        <f t="shared" si="7"/>
        <v>0.38170440000000005</v>
      </c>
      <c r="J53" s="3">
        <f t="shared" si="6"/>
        <v>0.51511051800000007</v>
      </c>
      <c r="K53" s="4">
        <f t="shared" si="4"/>
        <v>3.4340701200000008</v>
      </c>
      <c r="L53" s="4">
        <f t="shared" si="12"/>
        <v>4</v>
      </c>
    </row>
    <row r="54" spans="1:12" x14ac:dyDescent="0.25">
      <c r="A54" s="1">
        <v>3</v>
      </c>
      <c r="B54" s="1">
        <v>6</v>
      </c>
      <c r="C54" s="1" t="s">
        <v>54</v>
      </c>
      <c r="D54" s="1" t="s">
        <v>55</v>
      </c>
      <c r="E54" s="1" t="s">
        <v>53</v>
      </c>
      <c r="F54" s="1">
        <v>29</v>
      </c>
      <c r="G54">
        <v>10</v>
      </c>
      <c r="H54" s="3">
        <f t="shared" si="1"/>
        <v>6.6052139999999995E-2</v>
      </c>
      <c r="I54" s="4">
        <f t="shared" si="7"/>
        <v>0.44034760000000001</v>
      </c>
      <c r="J54" s="3">
        <f t="shared" si="6"/>
        <v>0.49939385600000002</v>
      </c>
      <c r="K54" s="4">
        <f t="shared" si="4"/>
        <v>3.3292923733333337</v>
      </c>
      <c r="L54" s="4">
        <f t="shared" si="12"/>
        <v>4</v>
      </c>
    </row>
    <row r="55" spans="1:12" x14ac:dyDescent="0.25">
      <c r="A55" s="1">
        <v>3</v>
      </c>
      <c r="B55" s="1">
        <v>7</v>
      </c>
      <c r="C55" s="1" t="s">
        <v>54</v>
      </c>
      <c r="D55" s="1" t="s">
        <v>55</v>
      </c>
      <c r="E55" s="1" t="s">
        <v>59</v>
      </c>
      <c r="F55" s="1">
        <v>32</v>
      </c>
      <c r="G55">
        <v>12</v>
      </c>
      <c r="H55" s="3">
        <f t="shared" si="1"/>
        <v>8.0424960000000004E-2</v>
      </c>
      <c r="I55" s="4">
        <f t="shared" si="7"/>
        <v>0.53616640000000004</v>
      </c>
      <c r="J55" s="3">
        <f t="shared" si="6"/>
        <v>0.67971697800000008</v>
      </c>
      <c r="K55" s="4">
        <f t="shared" si="4"/>
        <v>4.5314465200000011</v>
      </c>
      <c r="L55" s="4">
        <f t="shared" si="12"/>
        <v>4</v>
      </c>
    </row>
    <row r="56" spans="1:12" x14ac:dyDescent="0.25">
      <c r="A56" s="1">
        <v>3</v>
      </c>
      <c r="B56" s="1">
        <v>8</v>
      </c>
      <c r="C56" s="1" t="s">
        <v>54</v>
      </c>
      <c r="D56" s="1" t="s">
        <v>55</v>
      </c>
      <c r="E56" s="1" t="s">
        <v>52</v>
      </c>
      <c r="F56" s="1">
        <v>15</v>
      </c>
      <c r="G56">
        <v>12</v>
      </c>
      <c r="H56" s="3">
        <f t="shared" si="1"/>
        <v>1.76715E-2</v>
      </c>
      <c r="I56" s="4">
        <f t="shared" si="7"/>
        <v>0.11781</v>
      </c>
      <c r="J56" s="3">
        <f t="shared" si="6"/>
        <v>0.23388456600000002</v>
      </c>
      <c r="K56" s="4">
        <f t="shared" si="4"/>
        <v>1.5592304400000001</v>
      </c>
      <c r="L56" s="4">
        <f t="shared" si="12"/>
        <v>4</v>
      </c>
    </row>
    <row r="57" spans="1:12" x14ac:dyDescent="0.25">
      <c r="A57" s="1">
        <v>3</v>
      </c>
      <c r="B57" s="1">
        <v>9</v>
      </c>
      <c r="C57" s="1" t="s">
        <v>54</v>
      </c>
      <c r="D57" s="1" t="s">
        <v>55</v>
      </c>
      <c r="E57" s="1" t="s">
        <v>52</v>
      </c>
      <c r="F57" s="1">
        <v>14</v>
      </c>
      <c r="G57">
        <v>12</v>
      </c>
      <c r="H57" s="3">
        <f t="shared" si="1"/>
        <v>1.5393840000000002E-2</v>
      </c>
      <c r="I57" s="4">
        <f t="shared" si="7"/>
        <v>0.10262560000000003</v>
      </c>
      <c r="J57" s="3">
        <f t="shared" si="6"/>
        <v>0.21770291400000003</v>
      </c>
      <c r="K57" s="4">
        <f t="shared" si="4"/>
        <v>1.4513527600000002</v>
      </c>
      <c r="L57" s="4">
        <f>1*1/0.25</f>
        <v>4</v>
      </c>
    </row>
    <row r="58" spans="1:12" x14ac:dyDescent="0.25">
      <c r="A58" s="1">
        <v>3</v>
      </c>
      <c r="B58" s="1">
        <v>10</v>
      </c>
      <c r="C58" s="1" t="s">
        <v>54</v>
      </c>
      <c r="D58" s="1" t="s">
        <v>55</v>
      </c>
      <c r="E58" s="1" t="s">
        <v>52</v>
      </c>
      <c r="F58" s="1">
        <v>18</v>
      </c>
      <c r="G58">
        <v>10</v>
      </c>
      <c r="H58" s="3">
        <f t="shared" si="1"/>
        <v>2.5446959999999998E-2</v>
      </c>
      <c r="I58" s="4">
        <f t="shared" si="7"/>
        <v>0.1696464</v>
      </c>
      <c r="J58" s="3">
        <f t="shared" si="6"/>
        <v>0.25899402599999999</v>
      </c>
      <c r="K58" s="4">
        <f t="shared" si="4"/>
        <v>1.72662684</v>
      </c>
      <c r="L58" s="4">
        <f t="shared" si="12"/>
        <v>4</v>
      </c>
    </row>
    <row r="59" spans="1:12" x14ac:dyDescent="0.25">
      <c r="A59" s="1">
        <v>3</v>
      </c>
      <c r="B59" s="1">
        <v>11</v>
      </c>
      <c r="C59" s="1" t="s">
        <v>54</v>
      </c>
      <c r="D59" s="1" t="s">
        <v>55</v>
      </c>
      <c r="E59" s="1" t="s">
        <v>52</v>
      </c>
      <c r="F59" s="1">
        <v>12</v>
      </c>
      <c r="G59">
        <v>9</v>
      </c>
      <c r="H59" s="3">
        <f t="shared" si="1"/>
        <v>1.130976E-2</v>
      </c>
      <c r="I59" s="4">
        <f t="shared" si="7"/>
        <v>7.5398400000000004E-2</v>
      </c>
      <c r="J59" s="3">
        <f t="shared" si="6"/>
        <v>0.16859997000000002</v>
      </c>
      <c r="K59" s="4">
        <f t="shared" si="4"/>
        <v>1.1239998000000002</v>
      </c>
      <c r="L59" s="4">
        <f t="shared" si="12"/>
        <v>4</v>
      </c>
    </row>
    <row r="60" spans="1:12" x14ac:dyDescent="0.25">
      <c r="A60" s="1">
        <v>3</v>
      </c>
      <c r="B60" s="1">
        <v>12</v>
      </c>
      <c r="C60" s="1" t="s">
        <v>54</v>
      </c>
      <c r="D60" s="1" t="s">
        <v>55</v>
      </c>
      <c r="E60" s="1" t="s">
        <v>52</v>
      </c>
      <c r="F60" s="1">
        <v>10</v>
      </c>
      <c r="G60">
        <v>7</v>
      </c>
      <c r="H60" s="3">
        <f t="shared" si="1"/>
        <v>7.8540000000000016E-3</v>
      </c>
      <c r="I60" s="4">
        <f t="shared" si="7"/>
        <v>5.2360000000000011E-2</v>
      </c>
      <c r="J60" s="3">
        <f t="shared" si="6"/>
        <v>0.14088656599999999</v>
      </c>
      <c r="K60" s="4">
        <f t="shared" si="4"/>
        <v>0.93924377333333331</v>
      </c>
      <c r="L60" s="4">
        <f t="shared" si="12"/>
        <v>4</v>
      </c>
    </row>
    <row r="61" spans="1:12" x14ac:dyDescent="0.25">
      <c r="A61" s="1">
        <v>3</v>
      </c>
      <c r="B61" s="1">
        <v>13</v>
      </c>
      <c r="C61" s="1" t="s">
        <v>54</v>
      </c>
      <c r="D61" s="1" t="s">
        <v>55</v>
      </c>
      <c r="E61" s="1" t="s">
        <v>52</v>
      </c>
      <c r="F61" s="1">
        <v>17</v>
      </c>
      <c r="G61">
        <v>9</v>
      </c>
      <c r="H61" s="3">
        <f t="shared" si="1"/>
        <v>2.2698060000000003E-2</v>
      </c>
      <c r="I61" s="4">
        <f t="shared" si="7"/>
        <v>0.15132040000000002</v>
      </c>
      <c r="J61" s="3">
        <f t="shared" si="6"/>
        <v>0.22928116500000001</v>
      </c>
      <c r="K61" s="4">
        <f t="shared" si="4"/>
        <v>1.5285411000000002</v>
      </c>
      <c r="L61" s="4">
        <f t="shared" si="12"/>
        <v>4</v>
      </c>
    </row>
    <row r="62" spans="1:12" x14ac:dyDescent="0.25">
      <c r="A62" s="1">
        <v>3</v>
      </c>
      <c r="B62" s="1">
        <v>14</v>
      </c>
      <c r="C62" s="1" t="s">
        <v>54</v>
      </c>
      <c r="D62" s="1" t="s">
        <v>55</v>
      </c>
      <c r="E62" s="1" t="s">
        <v>52</v>
      </c>
      <c r="F62" s="1">
        <v>14</v>
      </c>
      <c r="G62">
        <v>9</v>
      </c>
      <c r="H62" s="3">
        <f t="shared" si="1"/>
        <v>1.5393840000000002E-2</v>
      </c>
      <c r="I62" s="4">
        <f t="shared" si="7"/>
        <v>0.10262560000000003</v>
      </c>
      <c r="J62" s="3">
        <f t="shared" si="6"/>
        <v>0.19036150200000002</v>
      </c>
      <c r="K62" s="4">
        <f t="shared" si="4"/>
        <v>1.2690766800000002</v>
      </c>
      <c r="L62" s="4">
        <f t="shared" si="12"/>
        <v>4</v>
      </c>
    </row>
    <row r="63" spans="1:12" x14ac:dyDescent="0.25">
      <c r="A63" s="1">
        <v>3</v>
      </c>
      <c r="B63" s="1">
        <v>15</v>
      </c>
      <c r="C63" s="1" t="s">
        <v>54</v>
      </c>
      <c r="D63" s="1" t="s">
        <v>55</v>
      </c>
      <c r="E63" s="1" t="s">
        <v>52</v>
      </c>
      <c r="F63" s="1">
        <v>10</v>
      </c>
      <c r="G63">
        <v>7</v>
      </c>
      <c r="H63" s="3">
        <f t="shared" si="1"/>
        <v>7.8540000000000016E-3</v>
      </c>
      <c r="I63" s="4">
        <f t="shared" si="7"/>
        <v>5.2360000000000011E-2</v>
      </c>
      <c r="J63" s="3">
        <f t="shared" si="6"/>
        <v>0.14088656599999999</v>
      </c>
      <c r="K63" s="4">
        <f t="shared" si="4"/>
        <v>0.93924377333333331</v>
      </c>
      <c r="L63" s="4">
        <f t="shared" si="12"/>
        <v>4</v>
      </c>
    </row>
    <row r="64" spans="1:12" x14ac:dyDescent="0.25">
      <c r="A64" s="1">
        <v>3</v>
      </c>
      <c r="B64" s="1">
        <v>16</v>
      </c>
      <c r="C64" s="1" t="s">
        <v>54</v>
      </c>
      <c r="D64" s="1" t="s">
        <v>55</v>
      </c>
      <c r="E64" s="1" t="s">
        <v>52</v>
      </c>
      <c r="F64" s="1">
        <v>10</v>
      </c>
      <c r="G64">
        <v>6</v>
      </c>
      <c r="H64" s="3">
        <f t="shared" si="1"/>
        <v>7.8540000000000016E-3</v>
      </c>
      <c r="I64" s="4">
        <f t="shared" si="7"/>
        <v>5.2360000000000011E-2</v>
      </c>
      <c r="J64" s="3">
        <f t="shared" si="6"/>
        <v>0.13623666600000001</v>
      </c>
      <c r="K64" s="4">
        <f t="shared" si="4"/>
        <v>0.90824444000000004</v>
      </c>
      <c r="L64" s="4">
        <f t="shared" si="12"/>
        <v>4</v>
      </c>
    </row>
    <row r="65" spans="1:12" x14ac:dyDescent="0.25">
      <c r="A65" s="1">
        <v>3</v>
      </c>
      <c r="B65" s="1">
        <v>17</v>
      </c>
      <c r="C65" s="1" t="s">
        <v>54</v>
      </c>
      <c r="D65" s="1" t="s">
        <v>55</v>
      </c>
      <c r="E65" s="1" t="s">
        <v>52</v>
      </c>
      <c r="F65" s="1">
        <v>12</v>
      </c>
      <c r="G65">
        <v>6</v>
      </c>
      <c r="H65" s="3">
        <f t="shared" si="1"/>
        <v>1.130976E-2</v>
      </c>
      <c r="I65" s="4">
        <f t="shared" si="7"/>
        <v>7.5398400000000004E-2</v>
      </c>
      <c r="J65" s="3">
        <f t="shared" si="6"/>
        <v>0.14851240199999999</v>
      </c>
      <c r="K65" s="4">
        <f t="shared" si="4"/>
        <v>0.99008267999999999</v>
      </c>
      <c r="L65" s="4">
        <f>1*1/0.25</f>
        <v>4</v>
      </c>
    </row>
    <row r="66" spans="1:12" x14ac:dyDescent="0.25">
      <c r="A66" s="1">
        <v>3</v>
      </c>
      <c r="B66" s="1">
        <v>18</v>
      </c>
      <c r="C66" s="1" t="s">
        <v>54</v>
      </c>
      <c r="D66" s="1" t="s">
        <v>55</v>
      </c>
      <c r="E66" s="1" t="s">
        <v>52</v>
      </c>
      <c r="F66" s="1">
        <v>13</v>
      </c>
      <c r="G66">
        <v>7</v>
      </c>
      <c r="H66" s="3">
        <f t="shared" si="1"/>
        <v>1.3273260000000002E-2</v>
      </c>
      <c r="I66" s="4">
        <f t="shared" si="7"/>
        <v>8.8488400000000023E-2</v>
      </c>
      <c r="J66" s="3">
        <f t="shared" si="6"/>
        <v>0.16334558300000002</v>
      </c>
      <c r="K66" s="4">
        <f t="shared" si="4"/>
        <v>1.0889705533333336</v>
      </c>
      <c r="L66" s="4">
        <f t="shared" si="12"/>
        <v>4</v>
      </c>
    </row>
    <row r="67" spans="1:12" x14ac:dyDescent="0.25">
      <c r="A67" s="1">
        <v>3</v>
      </c>
      <c r="B67" s="1">
        <v>19</v>
      </c>
      <c r="C67" s="1" t="s">
        <v>54</v>
      </c>
      <c r="D67" s="1" t="s">
        <v>55</v>
      </c>
      <c r="E67" s="1" t="s">
        <v>52</v>
      </c>
      <c r="F67" s="1">
        <v>16</v>
      </c>
      <c r="G67">
        <v>7</v>
      </c>
      <c r="H67" s="3">
        <f t="shared" si="1"/>
        <v>2.0106240000000001E-2</v>
      </c>
      <c r="I67" s="4">
        <f t="shared" si="7"/>
        <v>0.13404160000000001</v>
      </c>
      <c r="J67" s="3">
        <f t="shared" si="6"/>
        <v>0.191663474</v>
      </c>
      <c r="K67" s="4">
        <f t="shared" si="4"/>
        <v>1.2777564933333334</v>
      </c>
      <c r="L67" s="4">
        <f t="shared" si="12"/>
        <v>4</v>
      </c>
    </row>
    <row r="68" spans="1:12" s="1" customFormat="1" x14ac:dyDescent="0.25">
      <c r="A68" s="1">
        <v>3</v>
      </c>
      <c r="B68" s="1">
        <v>20</v>
      </c>
      <c r="C68" s="1" t="s">
        <v>54</v>
      </c>
      <c r="D68" s="1" t="s">
        <v>55</v>
      </c>
      <c r="E68" s="1" t="s">
        <v>52</v>
      </c>
      <c r="F68" s="1">
        <v>15</v>
      </c>
      <c r="G68" s="1">
        <v>6</v>
      </c>
      <c r="H68" s="3">
        <f t="shared" si="1"/>
        <v>1.76715E-2</v>
      </c>
      <c r="I68" s="4">
        <f t="shared" si="7"/>
        <v>0.11781</v>
      </c>
      <c r="J68" s="3">
        <f t="shared" si="6"/>
        <v>0.171110916</v>
      </c>
      <c r="K68" s="4">
        <f t="shared" si="4"/>
        <v>1.1407394400000002</v>
      </c>
      <c r="L68" s="4">
        <f>1*1/0.25</f>
        <v>4</v>
      </c>
    </row>
    <row r="69" spans="1:12" x14ac:dyDescent="0.25">
      <c r="A69" s="1">
        <v>3</v>
      </c>
      <c r="B69" s="1">
        <v>21</v>
      </c>
      <c r="C69" s="1" t="s">
        <v>54</v>
      </c>
      <c r="D69" s="1" t="s">
        <v>55</v>
      </c>
      <c r="E69" s="1" t="s">
        <v>52</v>
      </c>
      <c r="F69" s="1">
        <v>14</v>
      </c>
      <c r="G69">
        <v>6</v>
      </c>
      <c r="H69" s="3">
        <f t="shared" si="1"/>
        <v>1.5393840000000002E-2</v>
      </c>
      <c r="I69" s="4">
        <f t="shared" si="7"/>
        <v>0.10262560000000003</v>
      </c>
      <c r="J69" s="3">
        <f t="shared" si="6"/>
        <v>0.16302009000000001</v>
      </c>
      <c r="K69" s="4">
        <f t="shared" si="4"/>
        <v>1.0868006000000001</v>
      </c>
      <c r="L69" s="4">
        <f>1*1/0.25</f>
        <v>4</v>
      </c>
    </row>
    <row r="70" spans="1:12" x14ac:dyDescent="0.25">
      <c r="A70">
        <v>4</v>
      </c>
      <c r="B70">
        <v>1</v>
      </c>
      <c r="C70" s="1" t="s">
        <v>54</v>
      </c>
      <c r="D70" s="1" t="s">
        <v>55</v>
      </c>
      <c r="E70" s="1" t="s">
        <v>53</v>
      </c>
      <c r="F70">
        <v>23</v>
      </c>
      <c r="G70">
        <v>10</v>
      </c>
      <c r="H70" s="3">
        <f t="shared" si="1"/>
        <v>4.154766E-2</v>
      </c>
      <c r="I70" s="60">
        <f t="shared" si="7"/>
        <v>0.27698440000000002</v>
      </c>
      <c r="J70" s="3">
        <f t="shared" si="6"/>
        <v>0.35431697600000001</v>
      </c>
      <c r="K70" s="60">
        <f t="shared" si="4"/>
        <v>2.3621131733333334</v>
      </c>
      <c r="L70" s="4">
        <f>1*1/0.25</f>
        <v>4</v>
      </c>
    </row>
    <row r="71" spans="1:12" x14ac:dyDescent="0.25">
      <c r="A71" s="1">
        <v>4</v>
      </c>
      <c r="B71">
        <v>2</v>
      </c>
      <c r="C71" s="1" t="s">
        <v>54</v>
      </c>
      <c r="D71" s="1" t="s">
        <v>55</v>
      </c>
      <c r="E71" s="1" t="s">
        <v>53</v>
      </c>
      <c r="F71">
        <v>22</v>
      </c>
      <c r="G71">
        <v>10</v>
      </c>
      <c r="H71" s="3">
        <f t="shared" si="1"/>
        <v>3.8013359999999996E-2</v>
      </c>
      <c r="I71" s="60">
        <f t="shared" si="7"/>
        <v>0.25342239999999999</v>
      </c>
      <c r="J71" s="3">
        <f t="shared" si="6"/>
        <v>0.33339242600000002</v>
      </c>
      <c r="K71" s="60">
        <f t="shared" si="4"/>
        <v>2.2226161733333334</v>
      </c>
      <c r="L71" s="4">
        <f t="shared" ref="L71:L89" si="13">1*1/0.25</f>
        <v>4</v>
      </c>
    </row>
    <row r="72" spans="1:12" x14ac:dyDescent="0.25">
      <c r="A72" s="1">
        <v>4</v>
      </c>
      <c r="B72">
        <v>3</v>
      </c>
      <c r="C72" s="1" t="s">
        <v>54</v>
      </c>
      <c r="D72" s="1" t="s">
        <v>55</v>
      </c>
      <c r="E72" s="1" t="s">
        <v>52</v>
      </c>
      <c r="F72">
        <v>15</v>
      </c>
      <c r="G72">
        <v>9</v>
      </c>
      <c r="H72" s="3">
        <f t="shared" si="1"/>
        <v>1.76715E-2</v>
      </c>
      <c r="I72" s="60">
        <f t="shared" si="7"/>
        <v>0.11781</v>
      </c>
      <c r="J72" s="3">
        <f t="shared" si="6"/>
        <v>0.20249774100000001</v>
      </c>
      <c r="K72" s="60">
        <f t="shared" si="4"/>
        <v>1.3499849400000001</v>
      </c>
      <c r="L72" s="4">
        <f t="shared" si="13"/>
        <v>4</v>
      </c>
    </row>
    <row r="73" spans="1:12" x14ac:dyDescent="0.25">
      <c r="A73" s="1">
        <v>4</v>
      </c>
      <c r="B73">
        <v>4</v>
      </c>
      <c r="C73" s="1" t="s">
        <v>54</v>
      </c>
      <c r="D73" s="1" t="s">
        <v>55</v>
      </c>
      <c r="E73" s="1" t="s">
        <v>53</v>
      </c>
      <c r="F73">
        <v>22</v>
      </c>
      <c r="G73">
        <v>10</v>
      </c>
      <c r="H73" s="3">
        <f t="shared" si="1"/>
        <v>3.8013359999999996E-2</v>
      </c>
      <c r="I73" s="60">
        <f t="shared" si="7"/>
        <v>0.25342239999999999</v>
      </c>
      <c r="J73" s="3">
        <f t="shared" si="6"/>
        <v>0.33339242600000002</v>
      </c>
      <c r="K73" s="60">
        <f t="shared" si="4"/>
        <v>2.2226161733333334</v>
      </c>
      <c r="L73" s="4">
        <f t="shared" si="13"/>
        <v>4</v>
      </c>
    </row>
    <row r="74" spans="1:12" x14ac:dyDescent="0.25">
      <c r="A74" s="1">
        <v>4</v>
      </c>
      <c r="B74" s="1">
        <v>5</v>
      </c>
      <c r="C74" s="1" t="s">
        <v>54</v>
      </c>
      <c r="D74" s="1" t="s">
        <v>55</v>
      </c>
      <c r="E74" s="1" t="s">
        <v>53</v>
      </c>
      <c r="F74">
        <v>13</v>
      </c>
      <c r="G74">
        <v>10</v>
      </c>
      <c r="H74" s="3">
        <f t="shared" si="1"/>
        <v>1.3273260000000002E-2</v>
      </c>
      <c r="I74" s="60">
        <f t="shared" si="7"/>
        <v>8.8488400000000023E-2</v>
      </c>
      <c r="J74" s="3">
        <f t="shared" si="6"/>
        <v>0.186920576</v>
      </c>
      <c r="K74" s="60">
        <f t="shared" si="4"/>
        <v>1.2461371733333335</v>
      </c>
      <c r="L74" s="4">
        <f t="shared" si="13"/>
        <v>4</v>
      </c>
    </row>
    <row r="75" spans="1:12" x14ac:dyDescent="0.25">
      <c r="A75" s="1">
        <v>4</v>
      </c>
      <c r="B75" s="1">
        <v>6</v>
      </c>
      <c r="C75" s="1" t="s">
        <v>54</v>
      </c>
      <c r="D75" s="1" t="s">
        <v>55</v>
      </c>
      <c r="E75" s="1" t="s">
        <v>53</v>
      </c>
      <c r="F75">
        <v>20</v>
      </c>
      <c r="G75">
        <v>8</v>
      </c>
      <c r="H75" s="3">
        <f t="shared" si="1"/>
        <v>3.1416000000000006E-2</v>
      </c>
      <c r="I75" s="60">
        <f t="shared" si="7"/>
        <v>0.20944000000000004</v>
      </c>
      <c r="J75" s="3">
        <f t="shared" si="6"/>
        <v>0.25713406599999999</v>
      </c>
      <c r="K75" s="60">
        <f t="shared" si="4"/>
        <v>1.7142271066666668</v>
      </c>
      <c r="L75" s="4">
        <f t="shared" si="13"/>
        <v>4</v>
      </c>
    </row>
    <row r="76" spans="1:12" x14ac:dyDescent="0.25">
      <c r="A76" s="1">
        <v>4</v>
      </c>
      <c r="B76" s="1">
        <v>7</v>
      </c>
      <c r="C76" s="1" t="s">
        <v>54</v>
      </c>
      <c r="D76" s="1" t="s">
        <v>55</v>
      </c>
      <c r="E76" s="1" t="s">
        <v>53</v>
      </c>
      <c r="F76">
        <v>21</v>
      </c>
      <c r="G76">
        <v>9</v>
      </c>
      <c r="H76" s="3">
        <f t="shared" si="1"/>
        <v>3.4636139999999996E-2</v>
      </c>
      <c r="I76" s="60">
        <f t="shared" si="7"/>
        <v>0.23090759999999999</v>
      </c>
      <c r="J76" s="3">
        <f t="shared" si="6"/>
        <v>0.29289179700000001</v>
      </c>
      <c r="K76" s="60">
        <f t="shared" si="4"/>
        <v>1.9526119800000001</v>
      </c>
      <c r="L76" s="4">
        <f t="shared" si="13"/>
        <v>4</v>
      </c>
    </row>
    <row r="77" spans="1:12" x14ac:dyDescent="0.25">
      <c r="A77" s="1">
        <v>4</v>
      </c>
      <c r="B77" s="1">
        <v>8</v>
      </c>
      <c r="C77" s="1" t="s">
        <v>54</v>
      </c>
      <c r="D77" s="1" t="s">
        <v>55</v>
      </c>
      <c r="E77" s="1" t="s">
        <v>53</v>
      </c>
      <c r="F77">
        <v>26</v>
      </c>
      <c r="G77">
        <v>12</v>
      </c>
      <c r="H77" s="3">
        <f t="shared" si="1"/>
        <v>5.3093040000000008E-2</v>
      </c>
      <c r="I77" s="60">
        <f t="shared" si="7"/>
        <v>0.35395360000000009</v>
      </c>
      <c r="J77" s="3">
        <f t="shared" si="6"/>
        <v>0.48553715400000003</v>
      </c>
      <c r="K77" s="60">
        <f t="shared" si="4"/>
        <v>3.2369143600000001</v>
      </c>
      <c r="L77" s="4">
        <f t="shared" si="13"/>
        <v>4</v>
      </c>
    </row>
    <row r="78" spans="1:12" x14ac:dyDescent="0.25">
      <c r="A78" s="1">
        <v>4</v>
      </c>
      <c r="B78" s="1">
        <v>9</v>
      </c>
      <c r="C78" s="1" t="s">
        <v>54</v>
      </c>
      <c r="D78" s="1" t="s">
        <v>55</v>
      </c>
      <c r="E78" s="1" t="s">
        <v>53</v>
      </c>
      <c r="F78">
        <v>27</v>
      </c>
      <c r="G78">
        <v>9</v>
      </c>
      <c r="H78" s="3">
        <f t="shared" si="1"/>
        <v>5.7255660000000007E-2</v>
      </c>
      <c r="I78" s="60">
        <f t="shared" si="7"/>
        <v>0.38170440000000005</v>
      </c>
      <c r="J78" s="3">
        <f t="shared" si="6"/>
        <v>0.41341720500000001</v>
      </c>
      <c r="K78" s="60">
        <f t="shared" si="4"/>
        <v>2.7561147000000004</v>
      </c>
      <c r="L78" s="4">
        <f>1*1/0.25</f>
        <v>4</v>
      </c>
    </row>
    <row r="79" spans="1:12" x14ac:dyDescent="0.25">
      <c r="A79" s="1">
        <v>4</v>
      </c>
      <c r="B79" s="1">
        <v>10</v>
      </c>
      <c r="C79" s="1" t="s">
        <v>54</v>
      </c>
      <c r="D79" s="1" t="s">
        <v>55</v>
      </c>
      <c r="E79" s="1" t="s">
        <v>52</v>
      </c>
      <c r="F79">
        <v>19</v>
      </c>
      <c r="G79">
        <v>8</v>
      </c>
      <c r="H79" s="3">
        <f t="shared" si="1"/>
        <v>2.835294E-2</v>
      </c>
      <c r="I79" s="60">
        <f t="shared" si="7"/>
        <v>0.18901960000000001</v>
      </c>
      <c r="J79" s="3">
        <f t="shared" si="6"/>
        <v>0.24262637800000003</v>
      </c>
      <c r="K79" s="60">
        <f t="shared" si="4"/>
        <v>1.6175091866666669</v>
      </c>
      <c r="L79" s="4">
        <f t="shared" si="13"/>
        <v>4</v>
      </c>
    </row>
    <row r="80" spans="1:12" x14ac:dyDescent="0.25">
      <c r="A80" s="1">
        <v>4</v>
      </c>
      <c r="B80" s="1">
        <v>11</v>
      </c>
      <c r="C80" s="1" t="s">
        <v>54</v>
      </c>
      <c r="D80" s="1" t="s">
        <v>55</v>
      </c>
      <c r="E80" s="1" t="s">
        <v>52</v>
      </c>
      <c r="F80">
        <v>15</v>
      </c>
      <c r="G80">
        <v>7</v>
      </c>
      <c r="H80" s="3">
        <f t="shared" si="1"/>
        <v>1.76715E-2</v>
      </c>
      <c r="I80" s="60">
        <f t="shared" si="7"/>
        <v>0.11781</v>
      </c>
      <c r="J80" s="3">
        <f t="shared" si="6"/>
        <v>0.18157319100000002</v>
      </c>
      <c r="K80" s="60">
        <f t="shared" si="4"/>
        <v>1.2104879400000002</v>
      </c>
      <c r="L80" s="4">
        <f t="shared" si="13"/>
        <v>4</v>
      </c>
    </row>
    <row r="81" spans="1:12" x14ac:dyDescent="0.25">
      <c r="A81" s="1">
        <v>4</v>
      </c>
      <c r="B81" s="1">
        <v>12</v>
      </c>
      <c r="C81" s="1" t="s">
        <v>54</v>
      </c>
      <c r="D81" s="1" t="s">
        <v>55</v>
      </c>
      <c r="E81" s="1" t="s">
        <v>52</v>
      </c>
      <c r="F81">
        <v>14</v>
      </c>
      <c r="G81">
        <v>8</v>
      </c>
      <c r="H81" s="3">
        <f t="shared" si="1"/>
        <v>1.5393840000000002E-2</v>
      </c>
      <c r="I81" s="60">
        <f t="shared" si="7"/>
        <v>0.10262560000000003</v>
      </c>
      <c r="J81" s="3">
        <f t="shared" si="6"/>
        <v>0.18124769800000001</v>
      </c>
      <c r="K81" s="60">
        <f t="shared" si="4"/>
        <v>1.2083179866666669</v>
      </c>
      <c r="L81" s="4">
        <f t="shared" si="13"/>
        <v>4</v>
      </c>
    </row>
    <row r="82" spans="1:12" x14ac:dyDescent="0.25">
      <c r="A82" s="1">
        <v>4</v>
      </c>
      <c r="B82" s="1">
        <v>13</v>
      </c>
      <c r="C82" s="1" t="s">
        <v>54</v>
      </c>
      <c r="D82" s="1" t="s">
        <v>55</v>
      </c>
      <c r="E82" s="1" t="s">
        <v>52</v>
      </c>
      <c r="F82">
        <v>14</v>
      </c>
      <c r="G82">
        <v>9</v>
      </c>
      <c r="H82" s="3">
        <f t="shared" si="1"/>
        <v>1.5393840000000002E-2</v>
      </c>
      <c r="I82" s="60">
        <f t="shared" si="7"/>
        <v>0.10262560000000003</v>
      </c>
      <c r="J82" s="3">
        <f t="shared" si="6"/>
        <v>0.19036150200000002</v>
      </c>
      <c r="K82" s="60">
        <f t="shared" si="4"/>
        <v>1.2690766800000002</v>
      </c>
      <c r="L82" s="4">
        <f t="shared" si="13"/>
        <v>4</v>
      </c>
    </row>
    <row r="83" spans="1:12" x14ac:dyDescent="0.25">
      <c r="A83" s="1">
        <v>4</v>
      </c>
      <c r="B83" s="1">
        <v>14</v>
      </c>
      <c r="C83" s="1" t="s">
        <v>54</v>
      </c>
      <c r="D83" s="1" t="s">
        <v>55</v>
      </c>
      <c r="E83" s="1" t="s">
        <v>52</v>
      </c>
      <c r="F83">
        <v>15</v>
      </c>
      <c r="G83">
        <v>7</v>
      </c>
      <c r="H83" s="3">
        <f t="shared" si="1"/>
        <v>1.76715E-2</v>
      </c>
      <c r="I83" s="60">
        <f t="shared" si="7"/>
        <v>0.11781</v>
      </c>
      <c r="J83" s="3">
        <f t="shared" si="6"/>
        <v>0.18157319100000002</v>
      </c>
      <c r="K83" s="60">
        <f t="shared" si="4"/>
        <v>1.2104879400000002</v>
      </c>
      <c r="L83" s="4">
        <f t="shared" si="13"/>
        <v>4</v>
      </c>
    </row>
    <row r="84" spans="1:12" x14ac:dyDescent="0.25">
      <c r="A84" s="1">
        <v>4</v>
      </c>
      <c r="B84" s="1">
        <v>15</v>
      </c>
      <c r="C84" s="1" t="s">
        <v>54</v>
      </c>
      <c r="D84" s="1" t="s">
        <v>55</v>
      </c>
      <c r="E84" s="1" t="s">
        <v>52</v>
      </c>
      <c r="F84">
        <v>14</v>
      </c>
      <c r="G84">
        <v>7</v>
      </c>
      <c r="H84" s="3">
        <f t="shared" si="1"/>
        <v>1.5393840000000002E-2</v>
      </c>
      <c r="I84" s="60">
        <f t="shared" si="7"/>
        <v>0.10262560000000003</v>
      </c>
      <c r="J84" s="3">
        <f t="shared" si="6"/>
        <v>0.17213389400000001</v>
      </c>
      <c r="K84" s="60">
        <f t="shared" si="4"/>
        <v>1.1475592933333334</v>
      </c>
      <c r="L84" s="4">
        <f t="shared" si="13"/>
        <v>4</v>
      </c>
    </row>
    <row r="85" spans="1:12" x14ac:dyDescent="0.25">
      <c r="A85" s="1">
        <v>4</v>
      </c>
      <c r="B85" s="1">
        <v>16</v>
      </c>
      <c r="C85" s="1" t="s">
        <v>54</v>
      </c>
      <c r="D85" s="1" t="s">
        <v>55</v>
      </c>
      <c r="E85" s="1" t="s">
        <v>52</v>
      </c>
      <c r="F85">
        <v>10</v>
      </c>
      <c r="G85">
        <v>5</v>
      </c>
      <c r="H85" s="3">
        <f t="shared" si="1"/>
        <v>7.8540000000000016E-3</v>
      </c>
      <c r="I85" s="60">
        <f t="shared" si="7"/>
        <v>5.2360000000000011E-2</v>
      </c>
      <c r="J85" s="3">
        <f t="shared" si="6"/>
        <v>0.13158676599999999</v>
      </c>
      <c r="K85" s="60">
        <f t="shared" si="4"/>
        <v>0.87724510666666666</v>
      </c>
      <c r="L85" s="4">
        <f t="shared" si="13"/>
        <v>4</v>
      </c>
    </row>
    <row r="86" spans="1:12" x14ac:dyDescent="0.25">
      <c r="A86" s="1">
        <v>4</v>
      </c>
      <c r="B86" s="1">
        <v>17</v>
      </c>
      <c r="C86" s="1" t="s">
        <v>54</v>
      </c>
      <c r="D86" s="1" t="s">
        <v>55</v>
      </c>
      <c r="E86" s="1" t="s">
        <v>52</v>
      </c>
      <c r="F86">
        <v>12</v>
      </c>
      <c r="G86">
        <v>6</v>
      </c>
      <c r="H86" s="3">
        <f t="shared" si="1"/>
        <v>1.130976E-2</v>
      </c>
      <c r="I86" s="60">
        <f t="shared" si="7"/>
        <v>7.5398400000000004E-2</v>
      </c>
      <c r="J86" s="3">
        <f t="shared" si="6"/>
        <v>0.14851240199999999</v>
      </c>
      <c r="K86" s="60">
        <f t="shared" si="4"/>
        <v>0.99008267999999999</v>
      </c>
      <c r="L86" s="4">
        <f>1*1/0.25</f>
        <v>4</v>
      </c>
    </row>
    <row r="87" spans="1:12" x14ac:dyDescent="0.25">
      <c r="A87" s="1">
        <v>4</v>
      </c>
      <c r="B87" s="1">
        <v>18</v>
      </c>
      <c r="C87" s="1" t="s">
        <v>54</v>
      </c>
      <c r="D87" s="1" t="s">
        <v>55</v>
      </c>
      <c r="E87" s="1" t="s">
        <v>53</v>
      </c>
      <c r="F87">
        <v>13</v>
      </c>
      <c r="G87">
        <v>9</v>
      </c>
      <c r="H87" s="3">
        <f t="shared" si="1"/>
        <v>1.3273260000000002E-2</v>
      </c>
      <c r="I87" s="60">
        <f t="shared" si="7"/>
        <v>8.8488400000000023E-2</v>
      </c>
      <c r="J87" s="3">
        <f t="shared" si="6"/>
        <v>0.17906224500000001</v>
      </c>
      <c r="K87" s="60">
        <f t="shared" si="4"/>
        <v>1.1937483000000002</v>
      </c>
      <c r="L87" s="4">
        <f t="shared" si="13"/>
        <v>4</v>
      </c>
    </row>
    <row r="88" spans="1:12" x14ac:dyDescent="0.25">
      <c r="A88" s="1">
        <v>4</v>
      </c>
      <c r="B88" s="1">
        <v>19</v>
      </c>
      <c r="C88" s="1" t="s">
        <v>54</v>
      </c>
      <c r="D88" s="1" t="s">
        <v>55</v>
      </c>
      <c r="E88" s="1" t="s">
        <v>53</v>
      </c>
      <c r="F88">
        <v>22</v>
      </c>
      <c r="G88">
        <v>8</v>
      </c>
      <c r="H88" s="3">
        <f t="shared" si="1"/>
        <v>3.8013359999999996E-2</v>
      </c>
      <c r="I88" s="60">
        <f t="shared" si="7"/>
        <v>0.25342239999999999</v>
      </c>
      <c r="J88" s="3">
        <f t="shared" si="6"/>
        <v>0.28838139400000001</v>
      </c>
      <c r="K88" s="60">
        <f t="shared" si="4"/>
        <v>1.9225426266666668</v>
      </c>
      <c r="L88" s="4">
        <f t="shared" si="13"/>
        <v>4</v>
      </c>
    </row>
    <row r="89" spans="1:12" x14ac:dyDescent="0.25">
      <c r="A89" s="1">
        <v>4</v>
      </c>
      <c r="B89" s="1">
        <v>20</v>
      </c>
      <c r="C89" s="1" t="s">
        <v>54</v>
      </c>
      <c r="D89" s="1" t="s">
        <v>55</v>
      </c>
      <c r="E89" s="1" t="s">
        <v>59</v>
      </c>
      <c r="F89">
        <v>31</v>
      </c>
      <c r="G89">
        <v>10</v>
      </c>
      <c r="H89" s="3">
        <f t="shared" si="1"/>
        <v>7.5476940000000006E-2</v>
      </c>
      <c r="I89" s="60">
        <f t="shared" si="7"/>
        <v>0.50317960000000006</v>
      </c>
      <c r="J89" s="3">
        <f t="shared" si="6"/>
        <v>0.55519265600000001</v>
      </c>
      <c r="K89" s="60">
        <f t="shared" si="4"/>
        <v>3.7012843733333334</v>
      </c>
      <c r="L89" s="4">
        <f t="shared" si="13"/>
        <v>4</v>
      </c>
    </row>
    <row r="90" spans="1:12" x14ac:dyDescent="0.25">
      <c r="A90" s="1">
        <v>4</v>
      </c>
      <c r="B90" s="1">
        <v>21</v>
      </c>
      <c r="C90" s="1" t="s">
        <v>54</v>
      </c>
      <c r="D90" s="1" t="s">
        <v>55</v>
      </c>
      <c r="E90" s="1" t="s">
        <v>59</v>
      </c>
      <c r="F90">
        <v>33</v>
      </c>
      <c r="G90">
        <v>10</v>
      </c>
      <c r="H90" s="3">
        <f t="shared" si="1"/>
        <v>8.5530060000000005E-2</v>
      </c>
      <c r="I90" s="60">
        <f t="shared" si="7"/>
        <v>0.57020040000000005</v>
      </c>
      <c r="J90" s="3">
        <f t="shared" si="6"/>
        <v>0.61471137600000003</v>
      </c>
      <c r="K90" s="60">
        <f t="shared" si="4"/>
        <v>4.0980758400000008</v>
      </c>
      <c r="L90" s="4">
        <f>1*1/0.25</f>
        <v>4</v>
      </c>
    </row>
    <row r="91" spans="1:12" x14ac:dyDescent="0.25">
      <c r="A91" s="1">
        <v>4</v>
      </c>
      <c r="B91" s="1">
        <v>22</v>
      </c>
      <c r="C91" s="1" t="s">
        <v>54</v>
      </c>
      <c r="D91" s="1" t="s">
        <v>55</v>
      </c>
      <c r="E91" s="1" t="s">
        <v>52</v>
      </c>
      <c r="F91">
        <v>17</v>
      </c>
      <c r="G91">
        <v>8</v>
      </c>
      <c r="H91" s="3">
        <f t="shared" si="1"/>
        <v>2.2698060000000003E-2</v>
      </c>
      <c r="I91" s="60">
        <f t="shared" si="7"/>
        <v>0.15132040000000002</v>
      </c>
      <c r="J91" s="3">
        <f t="shared" si="6"/>
        <v>0.215842954</v>
      </c>
      <c r="K91" s="60">
        <f t="shared" si="4"/>
        <v>1.4389530266666668</v>
      </c>
      <c r="L91" s="4">
        <f>1*1/0.25</f>
        <v>4</v>
      </c>
    </row>
    <row r="92" spans="1:12" x14ac:dyDescent="0.25">
      <c r="A92" s="1">
        <v>4</v>
      </c>
      <c r="B92" s="1">
        <v>23</v>
      </c>
      <c r="C92" s="1" t="s">
        <v>54</v>
      </c>
      <c r="D92" s="1" t="s">
        <v>55</v>
      </c>
      <c r="E92" s="1" t="s">
        <v>52</v>
      </c>
      <c r="F92">
        <v>16</v>
      </c>
      <c r="G92">
        <v>7</v>
      </c>
      <c r="H92" s="3">
        <f t="shared" si="1"/>
        <v>2.0106240000000001E-2</v>
      </c>
      <c r="I92" s="60">
        <f t="shared" si="7"/>
        <v>0.13404160000000001</v>
      </c>
      <c r="J92" s="3">
        <f t="shared" si="6"/>
        <v>0.191663474</v>
      </c>
      <c r="K92" s="60">
        <f t="shared" si="4"/>
        <v>1.2777564933333334</v>
      </c>
      <c r="L92" s="4">
        <f t="shared" ref="L92:L97" si="14">1*1/0.25</f>
        <v>4</v>
      </c>
    </row>
    <row r="93" spans="1:12" x14ac:dyDescent="0.25">
      <c r="A93" s="1">
        <v>4</v>
      </c>
      <c r="B93" s="1">
        <v>24</v>
      </c>
      <c r="C93" s="1" t="s">
        <v>54</v>
      </c>
      <c r="D93" s="1" t="s">
        <v>55</v>
      </c>
      <c r="E93" s="1" t="s">
        <v>52</v>
      </c>
      <c r="F93">
        <v>10</v>
      </c>
      <c r="G93">
        <v>6</v>
      </c>
      <c r="H93" s="3">
        <f t="shared" si="1"/>
        <v>7.8540000000000016E-3</v>
      </c>
      <c r="I93" s="60">
        <f t="shared" si="7"/>
        <v>5.2360000000000011E-2</v>
      </c>
      <c r="J93" s="3">
        <f t="shared" si="6"/>
        <v>0.13623666600000001</v>
      </c>
      <c r="K93" s="60">
        <f t="shared" si="4"/>
        <v>0.90824444000000004</v>
      </c>
      <c r="L93" s="4">
        <f t="shared" si="14"/>
        <v>4</v>
      </c>
    </row>
    <row r="94" spans="1:12" x14ac:dyDescent="0.25">
      <c r="A94" s="1">
        <v>4</v>
      </c>
      <c r="B94" s="1">
        <v>25</v>
      </c>
      <c r="C94" s="1" t="s">
        <v>54</v>
      </c>
      <c r="D94" s="1" t="s">
        <v>55</v>
      </c>
      <c r="E94" s="1" t="s">
        <v>52</v>
      </c>
      <c r="F94">
        <v>17</v>
      </c>
      <c r="G94">
        <v>8</v>
      </c>
      <c r="H94" s="3">
        <f t="shared" si="1"/>
        <v>2.2698060000000003E-2</v>
      </c>
      <c r="I94" s="60">
        <f t="shared" si="7"/>
        <v>0.15132040000000002</v>
      </c>
      <c r="J94" s="3">
        <f t="shared" si="6"/>
        <v>0.215842954</v>
      </c>
      <c r="K94" s="60">
        <f t="shared" si="4"/>
        <v>1.4389530266666668</v>
      </c>
      <c r="L94" s="4">
        <f t="shared" si="14"/>
        <v>4</v>
      </c>
    </row>
    <row r="95" spans="1:12" x14ac:dyDescent="0.25">
      <c r="A95" s="1">
        <v>4</v>
      </c>
      <c r="B95" s="1">
        <v>26</v>
      </c>
      <c r="C95" s="1" t="s">
        <v>54</v>
      </c>
      <c r="D95" s="1" t="s">
        <v>55</v>
      </c>
      <c r="E95" s="1" t="s">
        <v>52</v>
      </c>
      <c r="F95">
        <v>17</v>
      </c>
      <c r="G95">
        <v>9</v>
      </c>
      <c r="H95" s="3">
        <f t="shared" si="1"/>
        <v>2.2698060000000003E-2</v>
      </c>
      <c r="I95" s="60">
        <f t="shared" si="7"/>
        <v>0.15132040000000002</v>
      </c>
      <c r="J95" s="3">
        <f t="shared" si="6"/>
        <v>0.22928116500000001</v>
      </c>
      <c r="K95" s="60">
        <f t="shared" si="4"/>
        <v>1.5285411000000002</v>
      </c>
      <c r="L95" s="4">
        <f t="shared" si="14"/>
        <v>4</v>
      </c>
    </row>
    <row r="96" spans="1:12" x14ac:dyDescent="0.25">
      <c r="A96" s="1">
        <v>5</v>
      </c>
      <c r="B96" s="1">
        <v>1</v>
      </c>
      <c r="C96" s="1" t="s">
        <v>54</v>
      </c>
      <c r="D96" s="1" t="s">
        <v>55</v>
      </c>
      <c r="E96" s="1" t="s">
        <v>53</v>
      </c>
      <c r="F96">
        <v>20</v>
      </c>
      <c r="G96">
        <v>9</v>
      </c>
      <c r="H96" s="3">
        <f t="shared" si="1"/>
        <v>3.1416000000000006E-2</v>
      </c>
      <c r="I96" s="60">
        <f t="shared" si="7"/>
        <v>0.20944000000000004</v>
      </c>
      <c r="J96" s="3">
        <f t="shared" si="6"/>
        <v>0.27573366599999999</v>
      </c>
      <c r="K96" s="60">
        <f t="shared" si="4"/>
        <v>1.8382244400000001</v>
      </c>
      <c r="L96" s="4">
        <f>1*1/0.25</f>
        <v>4</v>
      </c>
    </row>
    <row r="97" spans="1:12" x14ac:dyDescent="0.25">
      <c r="A97" s="1">
        <v>5</v>
      </c>
      <c r="B97" s="1">
        <v>2</v>
      </c>
      <c r="C97" s="1" t="s">
        <v>54</v>
      </c>
      <c r="D97" s="1" t="s">
        <v>55</v>
      </c>
      <c r="E97" s="1" t="s">
        <v>52</v>
      </c>
      <c r="F97">
        <v>18</v>
      </c>
      <c r="G97">
        <v>7</v>
      </c>
      <c r="H97" s="3">
        <f t="shared" si="1"/>
        <v>2.5446959999999998E-2</v>
      </c>
      <c r="I97" s="60">
        <f t="shared" si="7"/>
        <v>0.1696464</v>
      </c>
      <c r="J97" s="3">
        <f t="shared" si="6"/>
        <v>0.21379699800000002</v>
      </c>
      <c r="K97" s="60">
        <f t="shared" si="4"/>
        <v>1.4253133200000001</v>
      </c>
      <c r="L97" s="4">
        <f t="shared" si="14"/>
        <v>4</v>
      </c>
    </row>
    <row r="98" spans="1:12" x14ac:dyDescent="0.25">
      <c r="A98" s="1">
        <v>5</v>
      </c>
      <c r="B98" s="1">
        <v>3</v>
      </c>
      <c r="C98" s="1" t="s">
        <v>54</v>
      </c>
      <c r="D98" s="1" t="s">
        <v>55</v>
      </c>
      <c r="E98" s="1" t="s">
        <v>53</v>
      </c>
      <c r="F98">
        <v>21</v>
      </c>
      <c r="G98">
        <v>9</v>
      </c>
      <c r="H98" s="3">
        <f t="shared" si="1"/>
        <v>3.4636139999999996E-2</v>
      </c>
      <c r="I98" s="60">
        <f t="shared" si="7"/>
        <v>0.23090759999999999</v>
      </c>
      <c r="J98" s="3">
        <f t="shared" si="6"/>
        <v>0.29289179700000001</v>
      </c>
      <c r="K98" s="60">
        <f t="shared" si="4"/>
        <v>1.9526119800000001</v>
      </c>
      <c r="L98" s="4">
        <f>1*1/0.25</f>
        <v>4</v>
      </c>
    </row>
    <row r="99" spans="1:12" x14ac:dyDescent="0.25">
      <c r="A99" s="1">
        <v>5</v>
      </c>
      <c r="B99" s="1">
        <v>4</v>
      </c>
      <c r="C99" s="1" t="s">
        <v>54</v>
      </c>
      <c r="D99" s="1" t="s">
        <v>55</v>
      </c>
      <c r="E99" s="1" t="s">
        <v>52</v>
      </c>
      <c r="F99">
        <v>14</v>
      </c>
      <c r="G99">
        <v>7</v>
      </c>
      <c r="H99" s="3">
        <f t="shared" si="1"/>
        <v>1.5393840000000002E-2</v>
      </c>
      <c r="I99" s="60">
        <f t="shared" si="7"/>
        <v>0.10262560000000003</v>
      </c>
      <c r="J99" s="3">
        <f t="shared" si="6"/>
        <v>0.17213389400000001</v>
      </c>
      <c r="K99" s="60">
        <f t="shared" si="4"/>
        <v>1.1475592933333334</v>
      </c>
      <c r="L99" s="4">
        <f t="shared" ref="L99:L113" si="15">1*1/0.25</f>
        <v>4</v>
      </c>
    </row>
    <row r="100" spans="1:12" x14ac:dyDescent="0.25">
      <c r="A100" s="1">
        <v>5</v>
      </c>
      <c r="B100" s="1">
        <v>5</v>
      </c>
      <c r="C100" s="1" t="s">
        <v>54</v>
      </c>
      <c r="D100" s="1" t="s">
        <v>55</v>
      </c>
      <c r="E100" s="1" t="s">
        <v>52</v>
      </c>
      <c r="F100">
        <v>15</v>
      </c>
      <c r="G100">
        <v>8</v>
      </c>
      <c r="H100" s="3">
        <f t="shared" si="1"/>
        <v>1.76715E-2</v>
      </c>
      <c r="I100" s="60">
        <f t="shared" si="7"/>
        <v>0.11781</v>
      </c>
      <c r="J100" s="3">
        <f t="shared" si="6"/>
        <v>0.19203546599999999</v>
      </c>
      <c r="K100" s="60">
        <f t="shared" si="4"/>
        <v>1.2802364399999999</v>
      </c>
      <c r="L100" s="4">
        <f t="shared" si="15"/>
        <v>4</v>
      </c>
    </row>
    <row r="101" spans="1:12" x14ac:dyDescent="0.25">
      <c r="A101" s="1">
        <v>5</v>
      </c>
      <c r="B101" s="1">
        <v>6</v>
      </c>
      <c r="C101" s="1" t="s">
        <v>54</v>
      </c>
      <c r="D101" s="1" t="s">
        <v>55</v>
      </c>
      <c r="E101" s="1" t="s">
        <v>52</v>
      </c>
      <c r="F101">
        <v>18</v>
      </c>
      <c r="G101">
        <v>13</v>
      </c>
      <c r="H101" s="3">
        <f t="shared" si="1"/>
        <v>2.5446959999999998E-2</v>
      </c>
      <c r="I101" s="60">
        <f t="shared" si="7"/>
        <v>0.1696464</v>
      </c>
      <c r="J101" s="3">
        <f t="shared" si="6"/>
        <v>0.30419105400000002</v>
      </c>
      <c r="K101" s="60">
        <f t="shared" si="4"/>
        <v>2.0279403600000001</v>
      </c>
      <c r="L101" s="4">
        <f t="shared" si="15"/>
        <v>4</v>
      </c>
    </row>
    <row r="102" spans="1:12" x14ac:dyDescent="0.25">
      <c r="A102" s="1">
        <v>5</v>
      </c>
      <c r="B102" s="1">
        <v>7</v>
      </c>
      <c r="C102" s="1" t="s">
        <v>54</v>
      </c>
      <c r="D102" s="1" t="s">
        <v>55</v>
      </c>
      <c r="E102" s="1" t="s">
        <v>53</v>
      </c>
      <c r="F102">
        <v>20</v>
      </c>
      <c r="G102">
        <v>10</v>
      </c>
      <c r="H102" s="3">
        <f t="shared" si="1"/>
        <v>3.1416000000000006E-2</v>
      </c>
      <c r="I102" s="60">
        <f t="shared" si="7"/>
        <v>0.20944000000000004</v>
      </c>
      <c r="J102" s="3">
        <f t="shared" si="6"/>
        <v>0.29433326600000004</v>
      </c>
      <c r="K102" s="60">
        <f t="shared" si="4"/>
        <v>1.9622217733333336</v>
      </c>
      <c r="L102" s="4">
        <f t="shared" si="15"/>
        <v>4</v>
      </c>
    </row>
    <row r="103" spans="1:12" x14ac:dyDescent="0.25">
      <c r="A103" s="1">
        <v>5</v>
      </c>
      <c r="B103" s="1">
        <v>8</v>
      </c>
      <c r="C103" s="1" t="s">
        <v>54</v>
      </c>
      <c r="D103" s="1" t="s">
        <v>55</v>
      </c>
      <c r="E103" s="1" t="s">
        <v>52</v>
      </c>
      <c r="F103">
        <v>16</v>
      </c>
      <c r="G103">
        <v>10</v>
      </c>
      <c r="H103" s="3">
        <f t="shared" si="1"/>
        <v>2.0106240000000001E-2</v>
      </c>
      <c r="I103" s="60">
        <f t="shared" si="7"/>
        <v>0.13404160000000001</v>
      </c>
      <c r="J103" s="3">
        <f t="shared" si="6"/>
        <v>0.22737470600000001</v>
      </c>
      <c r="K103" s="60">
        <f t="shared" si="4"/>
        <v>1.5158313733333335</v>
      </c>
      <c r="L103" s="4">
        <f t="shared" si="15"/>
        <v>4</v>
      </c>
    </row>
    <row r="104" spans="1:12" x14ac:dyDescent="0.25">
      <c r="A104" s="1">
        <v>5</v>
      </c>
      <c r="B104" s="1">
        <v>9</v>
      </c>
      <c r="C104" s="1" t="s">
        <v>54</v>
      </c>
      <c r="D104" s="1" t="s">
        <v>55</v>
      </c>
      <c r="E104" s="1" t="s">
        <v>53</v>
      </c>
      <c r="F104">
        <v>26</v>
      </c>
      <c r="G104">
        <v>10</v>
      </c>
      <c r="H104" s="3">
        <f t="shared" si="1"/>
        <v>5.3093040000000008E-2</v>
      </c>
      <c r="I104" s="60">
        <f t="shared" si="7"/>
        <v>0.35395360000000009</v>
      </c>
      <c r="J104" s="3">
        <f t="shared" si="6"/>
        <v>0.422670506</v>
      </c>
      <c r="K104" s="60">
        <f t="shared" si="4"/>
        <v>2.8178033733333336</v>
      </c>
      <c r="L104" s="4">
        <f t="shared" si="15"/>
        <v>4</v>
      </c>
    </row>
    <row r="105" spans="1:12" x14ac:dyDescent="0.25">
      <c r="A105" s="1">
        <v>5</v>
      </c>
      <c r="B105" s="1">
        <v>10</v>
      </c>
      <c r="C105" s="1" t="s">
        <v>61</v>
      </c>
      <c r="D105" s="1" t="s">
        <v>58</v>
      </c>
      <c r="E105" s="1" t="s">
        <v>52</v>
      </c>
      <c r="F105">
        <v>17</v>
      </c>
      <c r="G105">
        <v>11</v>
      </c>
      <c r="H105" s="3">
        <f t="shared" si="1"/>
        <v>2.2698060000000003E-2</v>
      </c>
      <c r="I105" s="60">
        <f t="shared" si="7"/>
        <v>0.15132040000000002</v>
      </c>
      <c r="J105" s="3">
        <f t="shared" ref="J105:J108" si="16">(0.0134651922+0.0000289134*(F105^2*G105))</f>
        <v>0.1053808908</v>
      </c>
      <c r="K105" s="60">
        <f t="shared" si="4"/>
        <v>0.70253927199999999</v>
      </c>
      <c r="L105" s="4">
        <f t="shared" si="15"/>
        <v>4</v>
      </c>
    </row>
    <row r="106" spans="1:12" x14ac:dyDescent="0.25">
      <c r="A106" s="1">
        <v>5</v>
      </c>
      <c r="B106" s="1">
        <v>11</v>
      </c>
      <c r="C106" s="1" t="s">
        <v>61</v>
      </c>
      <c r="D106" s="1" t="s">
        <v>58</v>
      </c>
      <c r="E106" s="1" t="s">
        <v>52</v>
      </c>
      <c r="F106">
        <v>12</v>
      </c>
      <c r="G106">
        <v>11</v>
      </c>
      <c r="H106" s="3">
        <f t="shared" si="1"/>
        <v>1.130976E-2</v>
      </c>
      <c r="I106" s="60">
        <f t="shared" si="7"/>
        <v>7.5398400000000004E-2</v>
      </c>
      <c r="J106" s="3">
        <f t="shared" si="16"/>
        <v>5.9264017799999999E-2</v>
      </c>
      <c r="K106" s="60">
        <f t="shared" si="4"/>
        <v>0.39509345200000001</v>
      </c>
      <c r="L106" s="4">
        <f>1*1/0.25</f>
        <v>4</v>
      </c>
    </row>
    <row r="107" spans="1:12" x14ac:dyDescent="0.25">
      <c r="A107" s="1">
        <v>5</v>
      </c>
      <c r="B107" s="1">
        <v>12</v>
      </c>
      <c r="C107" s="1" t="s">
        <v>61</v>
      </c>
      <c r="D107" s="1" t="s">
        <v>58</v>
      </c>
      <c r="E107" s="1" t="s">
        <v>52</v>
      </c>
      <c r="F107">
        <v>19</v>
      </c>
      <c r="G107">
        <v>12</v>
      </c>
      <c r="H107" s="3">
        <f t="shared" si="1"/>
        <v>2.835294E-2</v>
      </c>
      <c r="I107" s="60">
        <f t="shared" si="7"/>
        <v>0.18901960000000001</v>
      </c>
      <c r="J107" s="3">
        <f t="shared" si="16"/>
        <v>0.13871804100000001</v>
      </c>
      <c r="K107" s="60">
        <f t="shared" si="4"/>
        <v>0.92478694000000017</v>
      </c>
      <c r="L107" s="4">
        <f t="shared" si="15"/>
        <v>4</v>
      </c>
    </row>
    <row r="108" spans="1:12" x14ac:dyDescent="0.25">
      <c r="A108" s="1">
        <v>5</v>
      </c>
      <c r="B108" s="1">
        <v>13</v>
      </c>
      <c r="C108" s="1" t="s">
        <v>61</v>
      </c>
      <c r="D108" s="1" t="s">
        <v>58</v>
      </c>
      <c r="E108" s="1" t="s">
        <v>52</v>
      </c>
      <c r="F108">
        <v>18</v>
      </c>
      <c r="G108">
        <v>10</v>
      </c>
      <c r="H108" s="3">
        <f t="shared" si="1"/>
        <v>2.5446959999999998E-2</v>
      </c>
      <c r="I108" s="60">
        <f t="shared" si="7"/>
        <v>0.1696464</v>
      </c>
      <c r="J108" s="3">
        <f t="shared" si="16"/>
        <v>0.1071446082</v>
      </c>
      <c r="K108" s="60">
        <f t="shared" si="4"/>
        <v>0.71429738800000009</v>
      </c>
      <c r="L108" s="4">
        <f t="shared" si="15"/>
        <v>4</v>
      </c>
    </row>
    <row r="109" spans="1:12" x14ac:dyDescent="0.25">
      <c r="A109" s="1">
        <v>5</v>
      </c>
      <c r="B109" s="1">
        <v>14</v>
      </c>
      <c r="C109" s="1" t="s">
        <v>54</v>
      </c>
      <c r="D109" s="1" t="s">
        <v>55</v>
      </c>
      <c r="E109" s="1" t="s">
        <v>52</v>
      </c>
      <c r="F109">
        <v>19</v>
      </c>
      <c r="G109">
        <v>10</v>
      </c>
      <c r="H109" s="3">
        <f t="shared" si="1"/>
        <v>2.835294E-2</v>
      </c>
      <c r="I109" s="60">
        <f t="shared" si="7"/>
        <v>0.18901960000000001</v>
      </c>
      <c r="J109" s="3">
        <f t="shared" si="6"/>
        <v>0.27619865599999999</v>
      </c>
      <c r="K109" s="60">
        <f t="shared" si="4"/>
        <v>1.8413243733333333</v>
      </c>
      <c r="L109" s="4">
        <f t="shared" si="15"/>
        <v>4</v>
      </c>
    </row>
    <row r="110" spans="1:12" x14ac:dyDescent="0.25">
      <c r="A110" s="1">
        <v>5</v>
      </c>
      <c r="B110" s="1">
        <v>15</v>
      </c>
      <c r="C110" s="1" t="s">
        <v>54</v>
      </c>
      <c r="D110" s="1" t="s">
        <v>55</v>
      </c>
      <c r="E110" s="1" t="s">
        <v>52</v>
      </c>
      <c r="F110">
        <v>19</v>
      </c>
      <c r="G110">
        <v>12</v>
      </c>
      <c r="H110" s="3">
        <f t="shared" si="1"/>
        <v>2.835294E-2</v>
      </c>
      <c r="I110" s="60">
        <f t="shared" si="7"/>
        <v>0.18901960000000001</v>
      </c>
      <c r="J110" s="3">
        <f t="shared" si="6"/>
        <v>0.309770934</v>
      </c>
      <c r="K110" s="60">
        <f t="shared" si="4"/>
        <v>2.06513956</v>
      </c>
      <c r="L110" s="4">
        <f t="shared" si="15"/>
        <v>4</v>
      </c>
    </row>
    <row r="111" spans="1:12" x14ac:dyDescent="0.25">
      <c r="A111" s="1">
        <v>5</v>
      </c>
      <c r="B111" s="1">
        <v>16</v>
      </c>
      <c r="C111" s="1" t="s">
        <v>54</v>
      </c>
      <c r="D111" s="1" t="s">
        <v>55</v>
      </c>
      <c r="E111" s="1" t="s">
        <v>52</v>
      </c>
      <c r="F111">
        <v>17</v>
      </c>
      <c r="G111">
        <v>10</v>
      </c>
      <c r="H111" s="3">
        <f t="shared" si="1"/>
        <v>2.2698060000000003E-2</v>
      </c>
      <c r="I111" s="60">
        <f t="shared" si="7"/>
        <v>0.15132040000000002</v>
      </c>
      <c r="J111" s="3">
        <f t="shared" si="6"/>
        <v>0.24271937599999999</v>
      </c>
      <c r="K111" s="60">
        <f t="shared" si="4"/>
        <v>1.6181291733333334</v>
      </c>
      <c r="L111" s="4">
        <f t="shared" si="15"/>
        <v>4</v>
      </c>
    </row>
    <row r="112" spans="1:12" x14ac:dyDescent="0.25">
      <c r="A112" s="1">
        <v>5</v>
      </c>
      <c r="B112" s="1">
        <v>17</v>
      </c>
      <c r="C112" s="1" t="s">
        <v>54</v>
      </c>
      <c r="D112" s="1" t="s">
        <v>55</v>
      </c>
      <c r="E112" s="1" t="s">
        <v>52</v>
      </c>
      <c r="F112">
        <v>16</v>
      </c>
      <c r="G112">
        <v>10</v>
      </c>
      <c r="H112" s="3">
        <f t="shared" si="1"/>
        <v>2.0106240000000001E-2</v>
      </c>
      <c r="I112" s="60">
        <f t="shared" si="7"/>
        <v>0.13404160000000001</v>
      </c>
      <c r="J112" s="3">
        <f t="shared" si="6"/>
        <v>0.22737470600000001</v>
      </c>
      <c r="K112" s="60">
        <f t="shared" si="4"/>
        <v>1.5158313733333335</v>
      </c>
      <c r="L112" s="4">
        <f t="shared" si="15"/>
        <v>4</v>
      </c>
    </row>
    <row r="113" spans="1:12" x14ac:dyDescent="0.25">
      <c r="A113" s="1">
        <v>5</v>
      </c>
      <c r="B113" s="1">
        <v>18</v>
      </c>
      <c r="C113" s="1" t="s">
        <v>54</v>
      </c>
      <c r="D113" s="1" t="s">
        <v>55</v>
      </c>
      <c r="E113" s="1" t="s">
        <v>52</v>
      </c>
      <c r="F113">
        <v>17</v>
      </c>
      <c r="G113">
        <v>9</v>
      </c>
      <c r="H113" s="3">
        <f t="shared" si="1"/>
        <v>2.2698060000000003E-2</v>
      </c>
      <c r="I113" s="60">
        <f t="shared" si="7"/>
        <v>0.15132040000000002</v>
      </c>
      <c r="J113" s="3">
        <f t="shared" si="6"/>
        <v>0.22928116500000001</v>
      </c>
      <c r="K113" s="60">
        <f t="shared" si="4"/>
        <v>1.5285411000000002</v>
      </c>
      <c r="L113" s="4">
        <f t="shared" si="15"/>
        <v>4</v>
      </c>
    </row>
    <row r="114" spans="1:12" x14ac:dyDescent="0.25">
      <c r="A114" s="1">
        <v>5</v>
      </c>
      <c r="B114" s="1">
        <v>19</v>
      </c>
      <c r="C114" s="1" t="s">
        <v>61</v>
      </c>
      <c r="D114" s="1" t="s">
        <v>58</v>
      </c>
      <c r="E114" s="1" t="s">
        <v>52</v>
      </c>
      <c r="F114">
        <v>15</v>
      </c>
      <c r="G114">
        <v>10</v>
      </c>
      <c r="H114" s="3">
        <f t="shared" si="1"/>
        <v>1.76715E-2</v>
      </c>
      <c r="I114" s="60">
        <f t="shared" si="7"/>
        <v>0.11781</v>
      </c>
      <c r="J114" s="3">
        <f t="shared" ref="J114:J119" si="17">(0.0134651922+0.0000289134*(F114^2*G114))</f>
        <v>7.852034220000001E-2</v>
      </c>
      <c r="K114" s="60">
        <f t="shared" si="4"/>
        <v>0.5234689480000001</v>
      </c>
      <c r="L114" s="4">
        <f>1*1/0.25</f>
        <v>4</v>
      </c>
    </row>
    <row r="115" spans="1:12" x14ac:dyDescent="0.25">
      <c r="A115" s="1">
        <v>5</v>
      </c>
      <c r="B115" s="1">
        <v>20</v>
      </c>
      <c r="C115" s="1" t="s">
        <v>61</v>
      </c>
      <c r="D115" s="1" t="s">
        <v>58</v>
      </c>
      <c r="E115" s="1" t="s">
        <v>53</v>
      </c>
      <c r="F115">
        <v>22</v>
      </c>
      <c r="G115">
        <v>10</v>
      </c>
      <c r="H115" s="3">
        <f t="shared" si="1"/>
        <v>3.8013359999999996E-2</v>
      </c>
      <c r="I115" s="60">
        <f t="shared" si="7"/>
        <v>0.25342239999999999</v>
      </c>
      <c r="J115" s="3">
        <f t="shared" si="17"/>
        <v>0.15340604820000001</v>
      </c>
      <c r="K115" s="60">
        <f t="shared" si="4"/>
        <v>1.0227069880000002</v>
      </c>
      <c r="L115" s="4">
        <f t="shared" ref="L115:L120" si="18">1*1/0.25</f>
        <v>4</v>
      </c>
    </row>
    <row r="116" spans="1:12" x14ac:dyDescent="0.25">
      <c r="A116" s="1">
        <v>5</v>
      </c>
      <c r="B116" s="1">
        <v>21</v>
      </c>
      <c r="C116" s="1" t="s">
        <v>61</v>
      </c>
      <c r="D116" s="1" t="s">
        <v>58</v>
      </c>
      <c r="E116" s="1" t="s">
        <v>53</v>
      </c>
      <c r="F116">
        <v>20</v>
      </c>
      <c r="G116">
        <v>10</v>
      </c>
      <c r="H116" s="3">
        <f t="shared" si="1"/>
        <v>3.1416000000000006E-2</v>
      </c>
      <c r="I116" s="60">
        <f t="shared" si="7"/>
        <v>0.20944000000000004</v>
      </c>
      <c r="J116" s="3">
        <f t="shared" si="17"/>
        <v>0.1291187922</v>
      </c>
      <c r="K116" s="60">
        <f t="shared" si="4"/>
        <v>0.86079194800000003</v>
      </c>
      <c r="L116" s="4">
        <f t="shared" si="18"/>
        <v>4</v>
      </c>
    </row>
    <row r="117" spans="1:12" x14ac:dyDescent="0.25">
      <c r="A117" s="1">
        <v>5</v>
      </c>
      <c r="B117" s="1">
        <v>22</v>
      </c>
      <c r="C117" s="1" t="s">
        <v>61</v>
      </c>
      <c r="D117" s="1" t="s">
        <v>58</v>
      </c>
      <c r="E117" s="1" t="s">
        <v>52</v>
      </c>
      <c r="F117">
        <v>17</v>
      </c>
      <c r="G117">
        <v>10</v>
      </c>
      <c r="H117" s="3">
        <f t="shared" si="1"/>
        <v>2.2698060000000003E-2</v>
      </c>
      <c r="I117" s="60">
        <f t="shared" si="7"/>
        <v>0.15132040000000002</v>
      </c>
      <c r="J117" s="3">
        <f t="shared" si="17"/>
        <v>9.7024918200000004E-2</v>
      </c>
      <c r="K117" s="60">
        <f t="shared" si="4"/>
        <v>0.6468327880000001</v>
      </c>
      <c r="L117" s="4">
        <f t="shared" si="18"/>
        <v>4</v>
      </c>
    </row>
    <row r="118" spans="1:12" x14ac:dyDescent="0.25">
      <c r="A118" s="1">
        <v>5</v>
      </c>
      <c r="B118" s="1">
        <v>23</v>
      </c>
      <c r="C118" s="1" t="s">
        <v>61</v>
      </c>
      <c r="D118" s="1" t="s">
        <v>58</v>
      </c>
      <c r="E118" s="1" t="s">
        <v>52</v>
      </c>
      <c r="F118">
        <v>16</v>
      </c>
      <c r="G118">
        <v>8</v>
      </c>
      <c r="H118" s="3">
        <f t="shared" si="1"/>
        <v>2.0106240000000001E-2</v>
      </c>
      <c r="I118" s="60">
        <f t="shared" si="7"/>
        <v>0.13404160000000001</v>
      </c>
      <c r="J118" s="3">
        <f t="shared" si="17"/>
        <v>7.2679835400000004E-2</v>
      </c>
      <c r="K118" s="60">
        <f t="shared" si="4"/>
        <v>0.48453223600000006</v>
      </c>
      <c r="L118" s="4">
        <f t="shared" si="18"/>
        <v>4</v>
      </c>
    </row>
    <row r="119" spans="1:12" x14ac:dyDescent="0.25">
      <c r="A119" s="1">
        <v>5</v>
      </c>
      <c r="B119" s="1">
        <v>24</v>
      </c>
      <c r="C119" s="1" t="s">
        <v>61</v>
      </c>
      <c r="D119" s="1" t="s">
        <v>58</v>
      </c>
      <c r="E119" s="1" t="s">
        <v>52</v>
      </c>
      <c r="F119">
        <v>17</v>
      </c>
      <c r="G119">
        <v>9</v>
      </c>
      <c r="H119" s="3">
        <f t="shared" si="1"/>
        <v>2.2698060000000003E-2</v>
      </c>
      <c r="I119" s="60">
        <f t="shared" si="7"/>
        <v>0.15132040000000002</v>
      </c>
      <c r="J119" s="3">
        <f t="shared" si="17"/>
        <v>8.8668945600000007E-2</v>
      </c>
      <c r="K119" s="60">
        <f t="shared" si="4"/>
        <v>0.5911263040000001</v>
      </c>
      <c r="L119" s="4">
        <f t="shared" si="18"/>
        <v>4</v>
      </c>
    </row>
    <row r="120" spans="1:12" x14ac:dyDescent="0.25">
      <c r="A120" s="1">
        <v>5</v>
      </c>
      <c r="B120" s="1">
        <v>25</v>
      </c>
      <c r="C120" s="1" t="s">
        <v>54</v>
      </c>
      <c r="D120" s="1" t="s">
        <v>55</v>
      </c>
      <c r="E120" s="1" t="s">
        <v>52</v>
      </c>
      <c r="F120">
        <v>17</v>
      </c>
      <c r="G120">
        <v>9</v>
      </c>
      <c r="H120" s="3">
        <f t="shared" si="1"/>
        <v>2.2698060000000003E-2</v>
      </c>
      <c r="I120" s="60">
        <f t="shared" si="7"/>
        <v>0.15132040000000002</v>
      </c>
      <c r="J120" s="3">
        <f t="shared" si="6"/>
        <v>0.22928116500000001</v>
      </c>
      <c r="K120" s="60">
        <f t="shared" si="4"/>
        <v>1.5285411000000002</v>
      </c>
      <c r="L120" s="4">
        <f t="shared" si="18"/>
        <v>4</v>
      </c>
    </row>
    <row r="121" spans="1:12" x14ac:dyDescent="0.25">
      <c r="A121" s="1"/>
      <c r="B121" s="1"/>
      <c r="C121" s="1"/>
      <c r="D121" s="1"/>
      <c r="H121" s="3"/>
      <c r="I121" s="60"/>
      <c r="J121" s="3"/>
      <c r="K121" s="60"/>
    </row>
    <row r="122" spans="1:12" x14ac:dyDescent="0.25">
      <c r="A122" s="1"/>
      <c r="B122" s="1"/>
      <c r="C122" s="1"/>
      <c r="D122" s="1"/>
      <c r="H122" s="3"/>
      <c r="I122" s="60"/>
      <c r="J122" s="3"/>
      <c r="K122" s="60"/>
    </row>
    <row r="123" spans="1:12" x14ac:dyDescent="0.25">
      <c r="A123" s="1"/>
      <c r="B123" s="1"/>
      <c r="C123" s="1"/>
      <c r="D123" s="1"/>
      <c r="H123" s="3"/>
      <c r="I123" s="60"/>
      <c r="J123" s="3"/>
      <c r="K123" s="60"/>
    </row>
    <row r="124" spans="1:12" x14ac:dyDescent="0.25">
      <c r="A124" s="1"/>
      <c r="B124" s="1"/>
      <c r="C124" s="1"/>
      <c r="D124" s="1"/>
      <c r="H124" s="3"/>
      <c r="I124" s="60"/>
      <c r="J124" s="3"/>
      <c r="K124" s="60"/>
    </row>
    <row r="125" spans="1:12" x14ac:dyDescent="0.25">
      <c r="A125" s="1"/>
      <c r="B125" s="1"/>
      <c r="C125" s="1"/>
      <c r="D125" s="1"/>
      <c r="H125" s="3"/>
      <c r="I125" s="60"/>
      <c r="J125" s="3"/>
      <c r="K125" s="60"/>
    </row>
    <row r="126" spans="1:12" x14ac:dyDescent="0.25">
      <c r="A126" s="1"/>
      <c r="B126" s="1"/>
      <c r="C126" s="1"/>
      <c r="D126" s="1"/>
      <c r="H126" s="3"/>
      <c r="I126" s="60"/>
      <c r="J126" s="3"/>
      <c r="K126" s="60"/>
    </row>
    <row r="127" spans="1:12" x14ac:dyDescent="0.25">
      <c r="A127" s="1"/>
      <c r="B127" s="1"/>
      <c r="C127" s="1"/>
      <c r="D127" s="1"/>
      <c r="H127" s="3"/>
      <c r="I127" s="60"/>
      <c r="J127" s="3"/>
      <c r="K127" s="60"/>
    </row>
    <row r="128" spans="1:12" x14ac:dyDescent="0.25">
      <c r="A128" s="1"/>
      <c r="B128" s="1"/>
      <c r="C128" s="1"/>
      <c r="D128" s="1"/>
      <c r="H128" s="3"/>
      <c r="I128" s="60"/>
      <c r="J128" s="3"/>
      <c r="K128" s="60"/>
    </row>
    <row r="129" spans="1:11" x14ac:dyDescent="0.25">
      <c r="A129" s="1"/>
      <c r="B129" s="1"/>
      <c r="C129" s="1"/>
      <c r="D129" s="1"/>
      <c r="H129" s="3"/>
      <c r="I129" s="60"/>
      <c r="J129" s="3"/>
      <c r="K129" s="60"/>
    </row>
    <row r="130" spans="1:11" x14ac:dyDescent="0.25">
      <c r="A130" s="1"/>
      <c r="B130" s="1"/>
      <c r="C130" s="1"/>
      <c r="D130" s="1"/>
      <c r="H130" s="3"/>
      <c r="I130" s="60"/>
      <c r="J130" s="3"/>
      <c r="K130" s="60"/>
    </row>
    <row r="131" spans="1:11" x14ac:dyDescent="0.25">
      <c r="A131" s="1"/>
      <c r="B131" s="1"/>
      <c r="C131" s="1"/>
      <c r="D131" s="1"/>
      <c r="H131" s="3"/>
      <c r="I131" s="60"/>
      <c r="J131" s="3"/>
      <c r="K131" s="60"/>
    </row>
    <row r="132" spans="1:11" x14ac:dyDescent="0.25">
      <c r="A132" s="1"/>
      <c r="B132" s="1"/>
      <c r="C132" s="1"/>
      <c r="D132" s="1"/>
      <c r="H132" s="3"/>
      <c r="I132" s="60"/>
      <c r="J132" s="3"/>
      <c r="K132" s="60"/>
    </row>
    <row r="133" spans="1:11" x14ac:dyDescent="0.25">
      <c r="A133" s="1"/>
      <c r="B133" s="1"/>
      <c r="C133" s="1"/>
      <c r="D133" s="1"/>
      <c r="H133" s="3"/>
      <c r="I133" s="60"/>
      <c r="J133" s="3"/>
      <c r="K133" s="60"/>
    </row>
    <row r="134" spans="1:11" x14ac:dyDescent="0.25">
      <c r="A134" s="1"/>
      <c r="B134" s="1"/>
      <c r="C134" s="1"/>
      <c r="D134" s="1"/>
      <c r="H134" s="3"/>
      <c r="I134" s="60"/>
      <c r="J134" s="3"/>
      <c r="K134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4" sqref="D14:E16"/>
    </sheetView>
  </sheetViews>
  <sheetFormatPr baseColWidth="10" defaultColWidth="11.42578125" defaultRowHeight="15" x14ac:dyDescent="0.25"/>
  <cols>
    <col min="1" max="1" width="32.7109375" customWidth="1"/>
    <col min="2" max="2" width="19" bestFit="1" customWidth="1"/>
    <col min="3" max="3" width="4.140625" bestFit="1" customWidth="1"/>
    <col min="4" max="4" width="21.7109375" customWidth="1"/>
    <col min="5" max="5" width="31.85546875" customWidth="1"/>
    <col min="7" max="7" width="14" customWidth="1"/>
  </cols>
  <sheetData>
    <row r="3" spans="1:11" x14ac:dyDescent="0.25">
      <c r="A3" s="5" t="s">
        <v>12</v>
      </c>
      <c r="B3" t="s">
        <v>14</v>
      </c>
    </row>
    <row r="4" spans="1:11" x14ac:dyDescent="0.25">
      <c r="A4" s="6" t="s">
        <v>58</v>
      </c>
      <c r="B4" s="8">
        <v>17</v>
      </c>
    </row>
    <row r="5" spans="1:11" x14ac:dyDescent="0.25">
      <c r="A5" s="7" t="s">
        <v>56</v>
      </c>
      <c r="B5" s="8">
        <v>17</v>
      </c>
    </row>
    <row r="6" spans="1:11" x14ac:dyDescent="0.25">
      <c r="A6" s="6" t="s">
        <v>55</v>
      </c>
      <c r="B6" s="8">
        <v>100</v>
      </c>
    </row>
    <row r="7" spans="1:11" x14ac:dyDescent="0.25">
      <c r="A7" s="7" t="s">
        <v>54</v>
      </c>
      <c r="B7" s="8">
        <v>100</v>
      </c>
    </row>
    <row r="8" spans="1:11" x14ac:dyDescent="0.25">
      <c r="A8" s="6" t="s">
        <v>60</v>
      </c>
      <c r="B8" s="8">
        <v>2</v>
      </c>
    </row>
    <row r="9" spans="1:11" x14ac:dyDescent="0.25">
      <c r="A9" s="7" t="s">
        <v>57</v>
      </c>
      <c r="B9" s="8">
        <v>2</v>
      </c>
    </row>
    <row r="10" spans="1:11" x14ac:dyDescent="0.25">
      <c r="A10" s="6" t="s">
        <v>13</v>
      </c>
      <c r="B10" s="8">
        <v>119</v>
      </c>
      <c r="K10">
        <f>0.15*100/1.34</f>
        <v>11.194029850746269</v>
      </c>
    </row>
    <row r="13" spans="1:11" ht="30" customHeight="1" x14ac:dyDescent="0.25">
      <c r="C13" s="23" t="s">
        <v>21</v>
      </c>
      <c r="D13" s="24" t="s">
        <v>22</v>
      </c>
      <c r="E13" s="24" t="s">
        <v>23</v>
      </c>
      <c r="F13" s="24" t="s">
        <v>24</v>
      </c>
      <c r="G13" s="25" t="s">
        <v>25</v>
      </c>
    </row>
    <row r="14" spans="1:11" x14ac:dyDescent="0.25">
      <c r="C14" s="10">
        <v>1</v>
      </c>
      <c r="D14" s="10" t="str">
        <f>A5</f>
        <v>Cipres</v>
      </c>
      <c r="E14" s="11" t="str">
        <f>A4</f>
        <v>Cupressus lisitanica</v>
      </c>
      <c r="F14" s="12">
        <f>GETPIVOTDATA("No. Arbol",$A$3,"Especie","Cupressus lisitanica")</f>
        <v>17</v>
      </c>
      <c r="G14" s="13">
        <f>F14/F17*100</f>
        <v>14.285714285714285</v>
      </c>
    </row>
    <row r="15" spans="1:11" x14ac:dyDescent="0.25">
      <c r="C15" s="10">
        <v>2</v>
      </c>
      <c r="D15" s="10" t="str">
        <f>A7</f>
        <v>Aliso</v>
      </c>
      <c r="E15" s="11" t="str">
        <f>A6</f>
        <v>Alnus sp.</v>
      </c>
      <c r="F15" s="12">
        <f>GETPIVOTDATA("No. Arbol",$A$3,"Especie","Alnus sp.")</f>
        <v>100</v>
      </c>
      <c r="G15" s="13">
        <f>F15/F17*100</f>
        <v>84.033613445378151</v>
      </c>
    </row>
    <row r="16" spans="1:11" s="1" customFormat="1" x14ac:dyDescent="0.25">
      <c r="C16" s="10">
        <v>3</v>
      </c>
      <c r="D16" s="10" t="str">
        <f>A9</f>
        <v>Canac</v>
      </c>
      <c r="E16" s="11" t="str">
        <f>A8</f>
        <v>Chiranthodendron pentadactylon</v>
      </c>
      <c r="F16" s="12">
        <f>GETPIVOTDATA("No. Arbol",$A$3,"Especie","Chiranthodendron pentadactylon")</f>
        <v>2</v>
      </c>
      <c r="G16" s="13">
        <f>F16/F17*100</f>
        <v>1.680672268907563</v>
      </c>
    </row>
    <row r="17" spans="3:7" x14ac:dyDescent="0.25">
      <c r="C17" s="66" t="s">
        <v>26</v>
      </c>
      <c r="D17" s="66"/>
      <c r="E17" s="66"/>
      <c r="F17" s="26">
        <f>SUM(F14:F16)</f>
        <v>119</v>
      </c>
      <c r="G17" s="27">
        <f>F17/F17*100</f>
        <v>100</v>
      </c>
    </row>
  </sheetData>
  <mergeCells count="1">
    <mergeCell ref="C17:E17"/>
  </mergeCell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topLeftCell="B1" workbookViewId="0">
      <selection activeCell="E14" sqref="E14"/>
    </sheetView>
  </sheetViews>
  <sheetFormatPr baseColWidth="10" defaultColWidth="11.42578125" defaultRowHeight="15" x14ac:dyDescent="0.25"/>
  <cols>
    <col min="1" max="1" width="30.85546875" customWidth="1"/>
    <col min="2" max="3" width="21.28515625" customWidth="1"/>
    <col min="4" max="4" width="22.140625" customWidth="1"/>
    <col min="5" max="5" width="15.140625" customWidth="1"/>
    <col min="6" max="6" width="21" customWidth="1"/>
    <col min="7" max="7" width="10.42578125" customWidth="1"/>
    <col min="8" max="8" width="10.28515625" customWidth="1"/>
    <col min="9" max="9" width="7.85546875" customWidth="1"/>
    <col min="10" max="10" width="8.85546875" customWidth="1"/>
  </cols>
  <sheetData>
    <row r="3" spans="1:12" x14ac:dyDescent="0.25">
      <c r="B3" s="5" t="s">
        <v>16</v>
      </c>
    </row>
    <row r="4" spans="1:12" x14ac:dyDescent="0.25">
      <c r="A4" s="5" t="s">
        <v>12</v>
      </c>
      <c r="B4" s="1" t="s">
        <v>15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12" x14ac:dyDescent="0.25">
      <c r="A5" s="6" t="s">
        <v>58</v>
      </c>
      <c r="B5" s="9">
        <v>68</v>
      </c>
      <c r="C5" s="3">
        <v>18.823529411764707</v>
      </c>
      <c r="D5" s="3">
        <v>11.470588235294118</v>
      </c>
      <c r="E5" s="3">
        <v>2.9123940999999998</v>
      </c>
      <c r="F5" s="3">
        <v>16.867697911999997</v>
      </c>
    </row>
    <row r="6" spans="1:12" x14ac:dyDescent="0.25">
      <c r="A6" s="6" t="s">
        <v>55</v>
      </c>
      <c r="B6" s="9">
        <v>400</v>
      </c>
      <c r="C6" s="3">
        <v>17.68</v>
      </c>
      <c r="D6" s="3">
        <v>8.66</v>
      </c>
      <c r="E6" s="3">
        <v>17.3768441</v>
      </c>
      <c r="F6" s="3">
        <v>172.68531351333337</v>
      </c>
    </row>
    <row r="7" spans="1:12" x14ac:dyDescent="0.25">
      <c r="A7" s="6" t="s">
        <v>60</v>
      </c>
      <c r="B7" s="9">
        <v>8</v>
      </c>
      <c r="C7" s="3">
        <v>20</v>
      </c>
      <c r="D7" s="3">
        <v>9</v>
      </c>
      <c r="E7" s="3">
        <v>0.32672639999999997</v>
      </c>
      <c r="F7" s="3">
        <v>3.8649248266666665</v>
      </c>
      <c r="L7">
        <f>2013-1977</f>
        <v>36</v>
      </c>
    </row>
    <row r="8" spans="1:12" x14ac:dyDescent="0.25">
      <c r="A8" s="6" t="s">
        <v>13</v>
      </c>
      <c r="B8" s="9">
        <v>476</v>
      </c>
      <c r="C8" s="3">
        <v>17.882352941176471</v>
      </c>
      <c r="D8" s="3">
        <v>9.0672268907563023</v>
      </c>
      <c r="E8" s="3">
        <v>20.615964599999998</v>
      </c>
      <c r="F8" s="3">
        <v>193.41793625200006</v>
      </c>
    </row>
    <row r="12" spans="1:12" x14ac:dyDescent="0.25">
      <c r="B12" s="71" t="s">
        <v>27</v>
      </c>
      <c r="C12" s="71" t="s">
        <v>28</v>
      </c>
      <c r="D12" s="68" t="s">
        <v>3</v>
      </c>
      <c r="E12" s="67" t="s">
        <v>15</v>
      </c>
      <c r="F12" s="67" t="s">
        <v>17</v>
      </c>
      <c r="G12" s="67" t="s">
        <v>18</v>
      </c>
      <c r="H12" s="67" t="s">
        <v>19</v>
      </c>
      <c r="I12" s="68" t="s">
        <v>29</v>
      </c>
      <c r="J12" s="68"/>
    </row>
    <row r="13" spans="1:12" x14ac:dyDescent="0.25">
      <c r="B13" s="71"/>
      <c r="C13" s="71"/>
      <c r="D13" s="68"/>
      <c r="E13" s="67"/>
      <c r="F13" s="67"/>
      <c r="G13" s="67"/>
      <c r="H13" s="67"/>
      <c r="I13" s="22" t="s">
        <v>30</v>
      </c>
      <c r="J13" s="22" t="s">
        <v>27</v>
      </c>
    </row>
    <row r="14" spans="1:12" x14ac:dyDescent="0.25">
      <c r="B14" s="69">
        <v>1</v>
      </c>
      <c r="C14" s="70">
        <v>2.5099999999999998</v>
      </c>
      <c r="D14" s="14" t="str">
        <f>A5</f>
        <v>Cupressus lisitanica</v>
      </c>
      <c r="E14" s="18">
        <f>GETPIVOTDATA("Suma de Densidad/Ha.",$A$3,"Especie","Cupressus lisitanica")</f>
        <v>68</v>
      </c>
      <c r="F14" s="15">
        <f>GETPIVOTDATA("Promedio de DAP (cm)",$A$3,"Especie","Cupressus lisitanica")</f>
        <v>18.823529411764707</v>
      </c>
      <c r="G14" s="15">
        <f>GETPIVOTDATA("Promedio de Altura (m)",$A$3,"Especie","Cupressus lisitanica")</f>
        <v>11.470588235294118</v>
      </c>
      <c r="H14" s="15">
        <f>GETPIVOTDATA("Suma de AB/Ha.",$A$3,"Especie","Cupressus lisitanica")</f>
        <v>2.9123940999999998</v>
      </c>
      <c r="I14" s="15">
        <f>GETPIVOTDATA("Suma de Volumen/Ha.",$A$3,"Especie","Cupressus lisitanica")</f>
        <v>16.867697911999997</v>
      </c>
      <c r="J14" s="16">
        <f>I14*2.51</f>
        <v>42.337921759119986</v>
      </c>
    </row>
    <row r="15" spans="1:12" x14ac:dyDescent="0.25">
      <c r="B15" s="69"/>
      <c r="C15" s="70"/>
      <c r="D15" s="14" t="str">
        <f>A6</f>
        <v>Alnus sp.</v>
      </c>
      <c r="E15" s="18">
        <f>GETPIVOTDATA("Suma de Densidad/Ha.",$A$3,"Especie","Alnus sp.")</f>
        <v>400</v>
      </c>
      <c r="F15" s="15">
        <f>GETPIVOTDATA("Promedio de DAP (cm)",$A$3,"Especie","Alnus sp.")</f>
        <v>17.68</v>
      </c>
      <c r="G15" s="15">
        <f>GETPIVOTDATA("Promedio de Altura (m)",$A$3,"Especie","Alnus sp.")</f>
        <v>8.66</v>
      </c>
      <c r="H15" s="15">
        <f>GETPIVOTDATA("Suma de AB/Ha.",$A$3,"Especie","Alnus sp.")</f>
        <v>17.3768441</v>
      </c>
      <c r="I15" s="15">
        <f>GETPIVOTDATA("Suma de Volumen/Ha.",$A$3,"Especie","Alnus sp.")</f>
        <v>172.68531351333337</v>
      </c>
      <c r="J15" s="16">
        <f>I15*2.51</f>
        <v>433.44013691846675</v>
      </c>
    </row>
    <row r="16" spans="1:12" s="1" customFormat="1" x14ac:dyDescent="0.25">
      <c r="B16" s="69"/>
      <c r="C16" s="70"/>
      <c r="D16" s="14" t="str">
        <f>A7</f>
        <v>Chiranthodendron pentadactylon</v>
      </c>
      <c r="E16" s="18">
        <f>GETPIVOTDATA("Suma de Densidad/Ha.",$A$3,"Especie","Chiranthodendron pentadactylon")</f>
        <v>8</v>
      </c>
      <c r="F16" s="15">
        <f>GETPIVOTDATA("Promedio de DAP (cm)",$A$3,"Especie","Chiranthodendron pentadactylon")</f>
        <v>20</v>
      </c>
      <c r="G16" s="15">
        <f>GETPIVOTDATA("Promedio de Altura (m)",$A$3,"Especie","Chiranthodendron pentadactylon")</f>
        <v>9</v>
      </c>
      <c r="H16" s="15">
        <f>GETPIVOTDATA("Suma de AB/Ha.",$A$3,"Especie","Chiranthodendron pentadactylon")</f>
        <v>0.32672639999999997</v>
      </c>
      <c r="I16" s="15">
        <f>GETPIVOTDATA("Suma de Volumen/Ha.",$A$3,"Especie","Chiranthodendron pentadactylon")</f>
        <v>3.8649248266666665</v>
      </c>
      <c r="J16" s="61">
        <f>I16*2.51</f>
        <v>9.7009613149333322</v>
      </c>
    </row>
    <row r="17" spans="2:10" x14ac:dyDescent="0.25">
      <c r="B17" s="69"/>
      <c r="C17" s="70"/>
      <c r="D17" s="19" t="s">
        <v>13</v>
      </c>
      <c r="E17" s="20">
        <f>SUM(E14:E16)</f>
        <v>476</v>
      </c>
      <c r="F17" s="21">
        <f>GETPIVOTDATA("Promedio de DAP (cm)",$A$3)</f>
        <v>17.882352941176471</v>
      </c>
      <c r="G17" s="21">
        <f>GETPIVOTDATA("Promedio de Altura (m)",$A$3)</f>
        <v>9.0672268907563023</v>
      </c>
      <c r="H17" s="21">
        <f>SUM(H14:H16)</f>
        <v>20.615964599999998</v>
      </c>
      <c r="I17" s="21">
        <f>SUM(I14:I16)</f>
        <v>193.41793625200003</v>
      </c>
      <c r="J17" s="37">
        <f>I17*2.51</f>
        <v>485.47901999252002</v>
      </c>
    </row>
  </sheetData>
  <mergeCells count="10">
    <mergeCell ref="H12:H13"/>
    <mergeCell ref="I12:J12"/>
    <mergeCell ref="B14:B17"/>
    <mergeCell ref="C14:C17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D7" sqref="D7"/>
    </sheetView>
  </sheetViews>
  <sheetFormatPr baseColWidth="10" defaultColWidth="11.42578125" defaultRowHeight="15" x14ac:dyDescent="0.25"/>
  <cols>
    <col min="1" max="1" width="18.42578125" bestFit="1" customWidth="1"/>
    <col min="2" max="2" width="13" bestFit="1" customWidth="1"/>
    <col min="3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30" x14ac:dyDescent="0.25">
      <c r="A4" s="55" t="s">
        <v>32</v>
      </c>
      <c r="B4" s="33" t="s">
        <v>15</v>
      </c>
      <c r="C4" s="33" t="s">
        <v>17</v>
      </c>
      <c r="D4" s="33" t="s">
        <v>18</v>
      </c>
      <c r="E4" s="33" t="s">
        <v>19</v>
      </c>
      <c r="F4" s="55" t="s">
        <v>20</v>
      </c>
      <c r="G4" s="25" t="s">
        <v>31</v>
      </c>
    </row>
    <row r="5" spans="1:7" x14ac:dyDescent="0.25">
      <c r="A5" s="54">
        <v>1</v>
      </c>
      <c r="B5" s="30">
        <v>84</v>
      </c>
      <c r="C5" s="31">
        <v>18.38095238095238</v>
      </c>
      <c r="D5" s="31">
        <v>10.142857142857142</v>
      </c>
      <c r="E5" s="31">
        <v>3.0041550000000004</v>
      </c>
      <c r="F5" s="53">
        <v>32.993842794666669</v>
      </c>
      <c r="G5" s="32">
        <f t="shared" ref="G5:G10" si="0">F5*2.51</f>
        <v>82.814545414613335</v>
      </c>
    </row>
    <row r="6" spans="1:7" x14ac:dyDescent="0.25">
      <c r="A6" s="54">
        <v>2</v>
      </c>
      <c r="B6" s="30">
        <v>104</v>
      </c>
      <c r="C6" s="31">
        <v>17.576923076923077</v>
      </c>
      <c r="D6" s="31">
        <v>8.615384615384615</v>
      </c>
      <c r="E6" s="31">
        <v>4.5097668000000004</v>
      </c>
      <c r="F6" s="53">
        <v>45.229260593333336</v>
      </c>
      <c r="G6" s="32">
        <f t="shared" si="0"/>
        <v>113.52544408926667</v>
      </c>
    </row>
    <row r="7" spans="1:7" x14ac:dyDescent="0.25">
      <c r="A7" s="54">
        <v>3</v>
      </c>
      <c r="B7" s="30">
        <v>84</v>
      </c>
      <c r="C7" s="31">
        <v>17.19047619047619</v>
      </c>
      <c r="D7" s="31">
        <v>8.5238095238095237</v>
      </c>
      <c r="E7" s="31">
        <v>3.7536884000000015</v>
      </c>
      <c r="F7" s="53">
        <v>36.161205746666681</v>
      </c>
      <c r="G7" s="32">
        <f t="shared" si="0"/>
        <v>90.764626424133368</v>
      </c>
    </row>
    <row r="8" spans="1:7" x14ac:dyDescent="0.25">
      <c r="A8" s="54">
        <v>4</v>
      </c>
      <c r="B8" s="30">
        <v>104</v>
      </c>
      <c r="C8" s="31">
        <v>18.384615384615383</v>
      </c>
      <c r="D8" s="31">
        <v>8.4230769230769234</v>
      </c>
      <c r="E8" s="31">
        <v>5.0820616000000021</v>
      </c>
      <c r="F8" s="53">
        <v>46.102201819999998</v>
      </c>
      <c r="G8" s="32">
        <f t="shared" si="0"/>
        <v>115.71652656819998</v>
      </c>
    </row>
    <row r="9" spans="1:7" x14ac:dyDescent="0.25">
      <c r="A9" s="54">
        <v>5</v>
      </c>
      <c r="B9" s="30">
        <v>100</v>
      </c>
      <c r="C9" s="31">
        <v>17.84</v>
      </c>
      <c r="D9" s="31">
        <v>9.76</v>
      </c>
      <c r="E9" s="31">
        <v>4.2662928000000004</v>
      </c>
      <c r="F9" s="53">
        <v>32.931425297333334</v>
      </c>
      <c r="G9" s="32">
        <f t="shared" si="0"/>
        <v>82.657877496306668</v>
      </c>
    </row>
    <row r="10" spans="1:7" x14ac:dyDescent="0.25">
      <c r="A10" s="57" t="s">
        <v>13</v>
      </c>
      <c r="B10" s="34">
        <v>476</v>
      </c>
      <c r="C10" s="35">
        <v>17.882352941176471</v>
      </c>
      <c r="D10" s="35">
        <v>9.0672268907563023</v>
      </c>
      <c r="E10" s="35">
        <v>20.615964600000005</v>
      </c>
      <c r="F10" s="56">
        <v>193.41793625200006</v>
      </c>
      <c r="G10" s="36">
        <f t="shared" si="0"/>
        <v>485.47901999252014</v>
      </c>
    </row>
  </sheetData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7109375" customWidth="1"/>
    <col min="2" max="4" width="12.42578125" bestFit="1" customWidth="1"/>
    <col min="5" max="5" width="8.5703125" bestFit="1" customWidth="1"/>
    <col min="6" max="6" width="12.85546875" bestFit="1" customWidth="1"/>
    <col min="7" max="7" width="10.42578125" customWidth="1"/>
  </cols>
  <sheetData>
    <row r="3" spans="1:7" x14ac:dyDescent="0.25">
      <c r="B3" s="5" t="s">
        <v>16</v>
      </c>
    </row>
    <row r="4" spans="1:7" ht="45" x14ac:dyDescent="0.25">
      <c r="A4" s="55" t="s">
        <v>34</v>
      </c>
      <c r="B4" s="33" t="s">
        <v>15</v>
      </c>
      <c r="C4" s="33" t="s">
        <v>17</v>
      </c>
      <c r="D4" s="33" t="s">
        <v>18</v>
      </c>
      <c r="E4" s="33" t="s">
        <v>19</v>
      </c>
      <c r="F4" s="55" t="s">
        <v>20</v>
      </c>
      <c r="G4" s="39" t="s">
        <v>33</v>
      </c>
    </row>
    <row r="5" spans="1:7" x14ac:dyDescent="0.25">
      <c r="A5" s="51" t="s">
        <v>58</v>
      </c>
      <c r="B5" s="28">
        <v>68</v>
      </c>
      <c r="C5" s="29">
        <v>18.823529411764707</v>
      </c>
      <c r="D5" s="29">
        <v>11.470588235294118</v>
      </c>
      <c r="E5" s="29">
        <v>2.9123940999999998</v>
      </c>
      <c r="F5" s="52">
        <v>16.867697911999997</v>
      </c>
      <c r="G5" s="17">
        <f>F5*2.51</f>
        <v>42.337921759119986</v>
      </c>
    </row>
    <row r="6" spans="1:7" x14ac:dyDescent="0.25">
      <c r="A6" s="7" t="s">
        <v>59</v>
      </c>
      <c r="B6" s="28">
        <v>4</v>
      </c>
      <c r="C6" s="29">
        <v>35</v>
      </c>
      <c r="D6" s="29">
        <v>17</v>
      </c>
      <c r="E6" s="29">
        <v>0.48105749999999992</v>
      </c>
      <c r="F6" s="52">
        <v>4.1039116479999995</v>
      </c>
      <c r="G6" s="38">
        <f t="shared" ref="G6:G16" si="0">F6*2.51</f>
        <v>10.300818236479998</v>
      </c>
    </row>
    <row r="7" spans="1:7" x14ac:dyDescent="0.25">
      <c r="A7" s="7" t="s">
        <v>52</v>
      </c>
      <c r="B7" s="28">
        <v>48</v>
      </c>
      <c r="C7" s="29">
        <v>16.75</v>
      </c>
      <c r="D7" s="29">
        <v>10.666666666666666</v>
      </c>
      <c r="E7" s="29">
        <v>1.6213274000000002</v>
      </c>
      <c r="F7" s="52">
        <v>8.1286153680000002</v>
      </c>
      <c r="G7" s="38">
        <f t="shared" si="0"/>
        <v>20.40282457368</v>
      </c>
    </row>
    <row r="8" spans="1:7" x14ac:dyDescent="0.25">
      <c r="A8" s="7" t="s">
        <v>53</v>
      </c>
      <c r="B8" s="28">
        <v>16</v>
      </c>
      <c r="C8" s="29">
        <v>21</v>
      </c>
      <c r="D8" s="29">
        <v>12.5</v>
      </c>
      <c r="E8" s="29">
        <v>0.8100092000000001</v>
      </c>
      <c r="F8" s="52">
        <v>4.6351708960000009</v>
      </c>
      <c r="G8" s="38">
        <f t="shared" si="0"/>
        <v>11.63427894896</v>
      </c>
    </row>
    <row r="9" spans="1:7" x14ac:dyDescent="0.25">
      <c r="A9" s="51" t="s">
        <v>55</v>
      </c>
      <c r="B9" s="28">
        <v>400</v>
      </c>
      <c r="C9" s="29">
        <v>17.68</v>
      </c>
      <c r="D9" s="29">
        <v>8.66</v>
      </c>
      <c r="E9" s="29">
        <v>17.376844100000007</v>
      </c>
      <c r="F9" s="52">
        <v>172.6853135133334</v>
      </c>
      <c r="G9" s="17">
        <f t="shared" si="0"/>
        <v>433.44013691846681</v>
      </c>
    </row>
    <row r="10" spans="1:7" x14ac:dyDescent="0.25">
      <c r="A10" s="7" t="s">
        <v>59</v>
      </c>
      <c r="B10" s="28">
        <v>16</v>
      </c>
      <c r="C10" s="29">
        <v>31.75</v>
      </c>
      <c r="D10" s="29">
        <v>11.75</v>
      </c>
      <c r="E10" s="29">
        <v>2.1127260000000003</v>
      </c>
      <c r="F10" s="52">
        <v>17.521609073333334</v>
      </c>
      <c r="G10" s="38">
        <f t="shared" si="0"/>
        <v>43.979238774066665</v>
      </c>
    </row>
    <row r="11" spans="1:7" x14ac:dyDescent="0.25">
      <c r="A11" s="7" t="s">
        <v>52</v>
      </c>
      <c r="B11" s="28">
        <v>280</v>
      </c>
      <c r="C11" s="29">
        <v>15</v>
      </c>
      <c r="D11" s="29">
        <v>7.9142857142857146</v>
      </c>
      <c r="E11" s="29">
        <v>8.1565099000000032</v>
      </c>
      <c r="F11" s="52">
        <v>92.260793933333304</v>
      </c>
      <c r="G11" s="38">
        <f t="shared" si="0"/>
        <v>231.57459277266656</v>
      </c>
    </row>
    <row r="12" spans="1:7" x14ac:dyDescent="0.25">
      <c r="A12" s="7" t="s">
        <v>53</v>
      </c>
      <c r="B12" s="28">
        <v>104</v>
      </c>
      <c r="C12" s="29">
        <v>22.73076923076923</v>
      </c>
      <c r="D12" s="29">
        <v>10.192307692307692</v>
      </c>
      <c r="E12" s="29">
        <v>7.1076081999999996</v>
      </c>
      <c r="F12" s="52">
        <v>62.902910506666672</v>
      </c>
      <c r="G12" s="38">
        <f t="shared" si="0"/>
        <v>157.88630537173333</v>
      </c>
    </row>
    <row r="13" spans="1:7" x14ac:dyDescent="0.25">
      <c r="A13" s="51" t="s">
        <v>60</v>
      </c>
      <c r="B13" s="28">
        <v>8</v>
      </c>
      <c r="C13" s="29">
        <v>20</v>
      </c>
      <c r="D13" s="29">
        <v>9</v>
      </c>
      <c r="E13" s="29">
        <v>0.32672639999999997</v>
      </c>
      <c r="F13" s="52">
        <v>3.8649248266666665</v>
      </c>
      <c r="G13" s="17">
        <f t="shared" si="0"/>
        <v>9.7009613149333322</v>
      </c>
    </row>
    <row r="14" spans="1:7" x14ac:dyDescent="0.25">
      <c r="A14" s="7" t="s">
        <v>52</v>
      </c>
      <c r="B14" s="28">
        <v>4</v>
      </c>
      <c r="C14" s="29">
        <v>16</v>
      </c>
      <c r="D14" s="29">
        <v>8</v>
      </c>
      <c r="E14" s="29">
        <v>0.1005312</v>
      </c>
      <c r="F14" s="52">
        <v>1.3571147866666666</v>
      </c>
      <c r="G14" s="38">
        <f t="shared" si="0"/>
        <v>3.406358114533333</v>
      </c>
    </row>
    <row r="15" spans="1:7" x14ac:dyDescent="0.25">
      <c r="A15" s="7" t="s">
        <v>53</v>
      </c>
      <c r="B15" s="28">
        <v>4</v>
      </c>
      <c r="C15" s="29">
        <v>24</v>
      </c>
      <c r="D15" s="29">
        <v>10</v>
      </c>
      <c r="E15" s="29">
        <v>0.22619519999999999</v>
      </c>
      <c r="F15" s="52">
        <v>2.5078100399999999</v>
      </c>
      <c r="G15" s="38">
        <f t="shared" si="0"/>
        <v>6.2946032003999992</v>
      </c>
    </row>
    <row r="16" spans="1:7" x14ac:dyDescent="0.25">
      <c r="A16" s="58" t="s">
        <v>13</v>
      </c>
      <c r="B16" s="49">
        <v>476</v>
      </c>
      <c r="C16" s="50">
        <v>17.882352941176471</v>
      </c>
      <c r="D16" s="50">
        <v>9.0672268907563023</v>
      </c>
      <c r="E16" s="50">
        <v>20.615964599999995</v>
      </c>
      <c r="F16" s="59">
        <v>193.41793625200006</v>
      </c>
      <c r="G16" s="37">
        <f t="shared" si="0"/>
        <v>485.47901999252014</v>
      </c>
    </row>
    <row r="17" spans="7:7" x14ac:dyDescent="0.25">
      <c r="G17" s="38"/>
    </row>
    <row r="18" spans="7:7" x14ac:dyDescent="0.25">
      <c r="G18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6"/>
  <sheetViews>
    <sheetView workbookViewId="0">
      <selection activeCell="H13" sqref="H13"/>
    </sheetView>
  </sheetViews>
  <sheetFormatPr baseColWidth="10" defaultColWidth="11.42578125" defaultRowHeight="15" x14ac:dyDescent="0.25"/>
  <cols>
    <col min="7" max="7" width="21.140625" customWidth="1"/>
    <col min="8" max="8" width="12.85546875" customWidth="1"/>
  </cols>
  <sheetData>
    <row r="3" spans="4:8" x14ac:dyDescent="0.25">
      <c r="D3" s="72" t="s">
        <v>35</v>
      </c>
      <c r="E3" s="72"/>
      <c r="F3" s="40" t="s">
        <v>36</v>
      </c>
      <c r="G3" s="40" t="s">
        <v>37</v>
      </c>
      <c r="H3" s="41" t="s">
        <v>38</v>
      </c>
    </row>
    <row r="4" spans="4:8" x14ac:dyDescent="0.25">
      <c r="D4" s="72"/>
      <c r="E4" s="72"/>
      <c r="F4" s="42">
        <v>2.5099999999999998</v>
      </c>
      <c r="G4" s="42">
        <v>2.1320000000000001</v>
      </c>
      <c r="H4" s="42">
        <v>5</v>
      </c>
    </row>
    <row r="5" spans="4:8" x14ac:dyDescent="0.25">
      <c r="D5" s="40" t="s">
        <v>39</v>
      </c>
      <c r="E5" s="40" t="s">
        <v>40</v>
      </c>
      <c r="F5" s="40" t="s">
        <v>41</v>
      </c>
      <c r="G5" s="40" t="s">
        <v>42</v>
      </c>
      <c r="H5" s="40" t="s">
        <v>43</v>
      </c>
    </row>
    <row r="6" spans="4:8" x14ac:dyDescent="0.25">
      <c r="D6" s="40">
        <v>1</v>
      </c>
      <c r="E6" s="53">
        <f>GETPIVOTDATA("Suma de Volumen/Ha.",'anexo 2'!$A$3,"Parcela",1)</f>
        <v>32.993842794666669</v>
      </c>
      <c r="F6" s="43">
        <f>E6*E6</f>
        <v>1088.5936623591776</v>
      </c>
      <c r="G6" s="40" t="s">
        <v>44</v>
      </c>
      <c r="H6" s="44">
        <f>E16/H4</f>
        <v>38.683587250400002</v>
      </c>
    </row>
    <row r="7" spans="4:8" x14ac:dyDescent="0.25">
      <c r="D7" s="40">
        <v>2</v>
      </c>
      <c r="E7" s="53">
        <f>GETPIVOTDATA("Suma de Volumen/Ha.",'anexo 2'!$A$3,"Parcela",2)</f>
        <v>45.229260593333336</v>
      </c>
      <c r="F7" s="43">
        <f>E7*E7</f>
        <v>2045.6860138196557</v>
      </c>
      <c r="G7" s="40" t="s">
        <v>45</v>
      </c>
      <c r="H7" s="45">
        <f>(((F16)-((E16*E16)/H4))/(H4-1))</f>
        <v>42.426162300225315</v>
      </c>
    </row>
    <row r="8" spans="4:8" x14ac:dyDescent="0.25">
      <c r="D8" s="40">
        <v>3</v>
      </c>
      <c r="E8" s="53">
        <f>GETPIVOTDATA("Suma de Volumen/Ha.",'anexo 2'!$A$3,"Parcela",3)</f>
        <v>36.161205746666681</v>
      </c>
      <c r="F8" s="43">
        <f>E8*E8</f>
        <v>1307.6328010527593</v>
      </c>
      <c r="G8" s="40" t="s">
        <v>46</v>
      </c>
      <c r="H8" s="45">
        <f>SQRT(H7)</f>
        <v>6.5135368503007118</v>
      </c>
    </row>
    <row r="9" spans="4:8" x14ac:dyDescent="0.25">
      <c r="D9" s="40">
        <v>4</v>
      </c>
      <c r="E9" s="53">
        <f>GETPIVOTDATA("Suma de Volumen/Ha.",'anexo 2'!$A$3,"Parcela",4)</f>
        <v>46.102201819999998</v>
      </c>
      <c r="F9" s="43">
        <f t="shared" ref="F9:F15" si="0">E9*E9</f>
        <v>2125.4130126520113</v>
      </c>
      <c r="G9" s="40" t="s">
        <v>47</v>
      </c>
      <c r="H9" s="45">
        <f>SQRT(((H7)/H4)*(1-((H4)/(F4*10))))</f>
        <v>2.6067119344949639</v>
      </c>
    </row>
    <row r="10" spans="4:8" x14ac:dyDescent="0.25">
      <c r="D10" s="40">
        <v>5</v>
      </c>
      <c r="E10" s="53">
        <f>GETPIVOTDATA("Suma de Volumen/Ha.",'anexo 2'!$A$3,"Parcela",5)</f>
        <v>32.931425297333334</v>
      </c>
      <c r="F10" s="43">
        <f t="shared" si="0"/>
        <v>1084.4787721138459</v>
      </c>
      <c r="G10" s="40" t="s">
        <v>48</v>
      </c>
      <c r="H10" s="45">
        <f>H9*G4</f>
        <v>5.5575098443432633</v>
      </c>
    </row>
    <row r="11" spans="4:8" x14ac:dyDescent="0.25">
      <c r="D11" s="40"/>
      <c r="E11" s="46"/>
      <c r="F11" s="43">
        <f t="shared" si="0"/>
        <v>0</v>
      </c>
      <c r="G11" s="40" t="s">
        <v>48</v>
      </c>
      <c r="H11" s="47">
        <f>((H10)/H6)</f>
        <v>0.14366583451450193</v>
      </c>
    </row>
    <row r="12" spans="4:8" x14ac:dyDescent="0.25">
      <c r="D12" s="40"/>
      <c r="E12" s="46"/>
      <c r="F12" s="43">
        <f t="shared" si="0"/>
        <v>0</v>
      </c>
      <c r="G12" s="40" t="s">
        <v>49</v>
      </c>
      <c r="H12" s="45">
        <f>H6+H10</f>
        <v>44.241097094743267</v>
      </c>
    </row>
    <row r="13" spans="4:8" x14ac:dyDescent="0.25">
      <c r="D13" s="40"/>
      <c r="E13" s="46"/>
      <c r="F13" s="43">
        <f t="shared" si="0"/>
        <v>0</v>
      </c>
      <c r="G13" s="40" t="s">
        <v>50</v>
      </c>
      <c r="H13" s="45">
        <f>H6-H10</f>
        <v>33.126077406056737</v>
      </c>
    </row>
    <row r="14" spans="4:8" x14ac:dyDescent="0.25">
      <c r="D14" s="40"/>
      <c r="E14" s="46"/>
      <c r="F14" s="43">
        <f t="shared" si="0"/>
        <v>0</v>
      </c>
      <c r="G14" s="40"/>
      <c r="H14" s="45"/>
    </row>
    <row r="15" spans="4:8" x14ac:dyDescent="0.25">
      <c r="D15" s="40"/>
      <c r="E15" s="46"/>
      <c r="F15" s="43">
        <f t="shared" si="0"/>
        <v>0</v>
      </c>
      <c r="G15" s="40"/>
      <c r="H15" s="45"/>
    </row>
    <row r="16" spans="4:8" x14ac:dyDescent="0.25">
      <c r="D16" s="40" t="s">
        <v>51</v>
      </c>
      <c r="E16" s="48">
        <f>SUM(E6:E15)</f>
        <v>193.417936252</v>
      </c>
      <c r="F16" s="48">
        <f>SUM(F6:F15)</f>
        <v>7651.8042619974494</v>
      </c>
      <c r="G16" s="40"/>
      <c r="H16" s="40"/>
    </row>
  </sheetData>
  <mergeCells count="1">
    <mergeCell ref="D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ColWidth="11.42578125" defaultRowHeight="15" x14ac:dyDescent="0.25"/>
  <sheetData>
    <row r="1" spans="1:3" x14ac:dyDescent="0.25">
      <c r="A1" s="62" t="s">
        <v>21</v>
      </c>
      <c r="B1" s="62" t="s">
        <v>62</v>
      </c>
      <c r="C1" s="62" t="s">
        <v>63</v>
      </c>
    </row>
    <row r="2" spans="1:3" x14ac:dyDescent="0.25">
      <c r="A2" s="1">
        <v>1</v>
      </c>
      <c r="B2" s="1">
        <v>402201</v>
      </c>
      <c r="C2" s="1">
        <v>1718549</v>
      </c>
    </row>
    <row r="3" spans="1:3" x14ac:dyDescent="0.25">
      <c r="A3" s="1">
        <v>2</v>
      </c>
      <c r="B3" s="1">
        <v>402405</v>
      </c>
      <c r="C3" s="1">
        <v>1718491</v>
      </c>
    </row>
    <row r="4" spans="1:3" x14ac:dyDescent="0.25">
      <c r="A4" s="1">
        <v>3</v>
      </c>
      <c r="B4" s="1">
        <v>402385</v>
      </c>
      <c r="C4" s="1">
        <v>1718627</v>
      </c>
    </row>
    <row r="5" spans="1:3" x14ac:dyDescent="0.25">
      <c r="A5" s="1">
        <v>4</v>
      </c>
      <c r="B5" s="1">
        <v>402213</v>
      </c>
      <c r="C5" s="1">
        <v>1718683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3" sqref="E3"/>
    </sheetView>
  </sheetViews>
  <sheetFormatPr baseColWidth="10" defaultColWidth="11.42578125" defaultRowHeight="15" x14ac:dyDescent="0.25"/>
  <cols>
    <col min="1" max="1" width="11.42578125" style="1"/>
    <col min="2" max="2" width="4.140625" bestFit="1" customWidth="1"/>
    <col min="3" max="3" width="7" bestFit="1" customWidth="1"/>
    <col min="4" max="4" width="8" bestFit="1" customWidth="1"/>
    <col min="5" max="6" width="14.140625" bestFit="1" customWidth="1"/>
    <col min="7" max="7" width="7" bestFit="1" customWidth="1"/>
    <col min="8" max="8" width="4.28515625" bestFit="1" customWidth="1"/>
    <col min="9" max="9" width="9.5703125" bestFit="1" customWidth="1"/>
    <col min="10" max="10" width="6.140625" bestFit="1" customWidth="1"/>
    <col min="11" max="11" width="21.42578125" bestFit="1" customWidth="1"/>
  </cols>
  <sheetData>
    <row r="1" spans="1:11" x14ac:dyDescent="0.25">
      <c r="A1" s="64" t="s">
        <v>69</v>
      </c>
      <c r="B1" s="62" t="s">
        <v>21</v>
      </c>
      <c r="C1" s="62" t="s">
        <v>62</v>
      </c>
      <c r="D1" s="62" t="s">
        <v>63</v>
      </c>
      <c r="E1" s="62" t="s">
        <v>64</v>
      </c>
      <c r="F1" s="62" t="s">
        <v>65</v>
      </c>
      <c r="G1" s="62" t="s">
        <v>66</v>
      </c>
      <c r="H1" s="64" t="s">
        <v>70</v>
      </c>
      <c r="I1" s="64" t="s">
        <v>71</v>
      </c>
      <c r="J1" s="64" t="s">
        <v>72</v>
      </c>
      <c r="K1" s="62" t="s">
        <v>67</v>
      </c>
    </row>
    <row r="2" spans="1:11" x14ac:dyDescent="0.25">
      <c r="A2" s="65" t="s">
        <v>73</v>
      </c>
      <c r="B2" s="1">
        <v>1</v>
      </c>
      <c r="C2" s="1">
        <v>402371</v>
      </c>
      <c r="D2" s="1">
        <v>1718504</v>
      </c>
      <c r="E2">
        <f>500/10000</f>
        <v>0.05</v>
      </c>
      <c r="G2" s="63">
        <v>41306</v>
      </c>
      <c r="K2" t="s">
        <v>68</v>
      </c>
    </row>
    <row r="3" spans="1:11" x14ac:dyDescent="0.25">
      <c r="A3" s="65" t="s">
        <v>73</v>
      </c>
      <c r="B3" s="1">
        <v>2</v>
      </c>
      <c r="C3" s="1">
        <v>402331</v>
      </c>
      <c r="D3" s="1">
        <v>1718566</v>
      </c>
      <c r="E3" s="1">
        <f t="shared" ref="E3:E6" si="0">500/10000</f>
        <v>0.05</v>
      </c>
      <c r="G3" s="63">
        <v>41306</v>
      </c>
      <c r="K3" s="1" t="s">
        <v>68</v>
      </c>
    </row>
    <row r="4" spans="1:11" x14ac:dyDescent="0.25">
      <c r="A4" s="65" t="s">
        <v>73</v>
      </c>
      <c r="B4" s="1">
        <v>3</v>
      </c>
      <c r="C4" s="1">
        <v>402280</v>
      </c>
      <c r="D4" s="1">
        <v>1718626</v>
      </c>
      <c r="E4" s="1">
        <f t="shared" si="0"/>
        <v>0.05</v>
      </c>
      <c r="G4" s="63">
        <v>41306</v>
      </c>
      <c r="K4" s="1" t="s">
        <v>68</v>
      </c>
    </row>
    <row r="5" spans="1:11" x14ac:dyDescent="0.25">
      <c r="A5" s="65" t="s">
        <v>73</v>
      </c>
      <c r="B5" s="1">
        <v>4</v>
      </c>
      <c r="C5" s="1">
        <v>402241</v>
      </c>
      <c r="D5" s="1">
        <v>1718600</v>
      </c>
      <c r="E5" s="1">
        <f t="shared" si="0"/>
        <v>0.05</v>
      </c>
      <c r="G5" s="63">
        <v>41306</v>
      </c>
      <c r="K5" s="1" t="s">
        <v>68</v>
      </c>
    </row>
    <row r="6" spans="1:11" x14ac:dyDescent="0.25">
      <c r="A6" s="65" t="s">
        <v>73</v>
      </c>
      <c r="B6" s="1">
        <v>5</v>
      </c>
      <c r="C6" s="1">
        <v>402264</v>
      </c>
      <c r="D6" s="1">
        <v>1718549</v>
      </c>
      <c r="E6" s="1">
        <f t="shared" si="0"/>
        <v>0.05</v>
      </c>
      <c r="G6" s="63">
        <v>41306</v>
      </c>
      <c r="K6" s="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% de abundancia</vt:lpstr>
      <vt:lpstr>cuadro 3</vt:lpstr>
      <vt:lpstr>anexo 2</vt:lpstr>
      <vt:lpstr>anexo 3</vt:lpstr>
      <vt:lpstr>analisis</vt:lpstr>
      <vt:lpstr>P. referencia</vt:lpstr>
      <vt:lpstr>Parcelas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DangerGo</cp:lastModifiedBy>
  <dcterms:created xsi:type="dcterms:W3CDTF">2013-02-20T15:36:32Z</dcterms:created>
  <dcterms:modified xsi:type="dcterms:W3CDTF">2017-03-27T00:05:32Z</dcterms:modified>
</cp:coreProperties>
</file>