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firstSheet="1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datos'!$A$1:$L$194</definedName>
  </definedNames>
  <calcPr calcId="152511"/>
  <pivotCaches>
    <pivotCache cacheId="40" r:id="rId9"/>
  </pivotCaches>
</workbook>
</file>

<file path=xl/calcChain.xml><?xml version="1.0" encoding="utf-8"?>
<calcChain xmlns="http://schemas.openxmlformats.org/spreadsheetml/2006/main">
  <c r="E8" i="9" l="1"/>
  <c r="E7" i="9"/>
  <c r="E6" i="9"/>
  <c r="E5" i="9"/>
  <c r="E4" i="9"/>
  <c r="E3" i="9"/>
  <c r="E2" i="9"/>
  <c r="O3" i="1"/>
  <c r="J194" i="1" l="1"/>
  <c r="J193" i="1"/>
  <c r="J185" i="1"/>
  <c r="J184" i="1"/>
  <c r="J183" i="1"/>
  <c r="J182" i="1"/>
  <c r="J157" i="1"/>
  <c r="J145" i="1"/>
  <c r="J137" i="1"/>
  <c r="J136" i="1"/>
  <c r="J135" i="1"/>
  <c r="J134" i="1"/>
  <c r="J64" i="1"/>
  <c r="J63" i="1"/>
  <c r="J62" i="1"/>
  <c r="J61" i="1"/>
  <c r="J60" i="1"/>
  <c r="J189" i="1"/>
  <c r="J188" i="1"/>
  <c r="J187" i="1"/>
  <c r="J186" i="1"/>
  <c r="J171" i="1"/>
  <c r="J170" i="1"/>
  <c r="J169" i="1"/>
  <c r="J168" i="1"/>
  <c r="J167" i="1"/>
  <c r="J166" i="1"/>
  <c r="J165" i="1"/>
  <c r="J163" i="1"/>
  <c r="J161" i="1"/>
  <c r="J160" i="1"/>
  <c r="J159" i="1"/>
  <c r="J156" i="1"/>
  <c r="J155" i="1"/>
  <c r="J149" i="1"/>
  <c r="J148" i="1"/>
  <c r="J147" i="1"/>
  <c r="J146" i="1"/>
  <c r="J144" i="1"/>
  <c r="J143" i="1"/>
  <c r="J142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92" i="1"/>
  <c r="J9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192" i="1" l="1"/>
  <c r="J191" i="1"/>
  <c r="J190" i="1"/>
  <c r="J181" i="1"/>
  <c r="J180" i="1"/>
  <c r="J179" i="1"/>
  <c r="J178" i="1"/>
  <c r="J177" i="1"/>
  <c r="J176" i="1"/>
  <c r="J175" i="1"/>
  <c r="J174" i="1"/>
  <c r="J173" i="1"/>
  <c r="J172" i="1"/>
  <c r="J164" i="1"/>
  <c r="J162" i="1"/>
  <c r="J158" i="1"/>
  <c r="J154" i="1"/>
  <c r="J153" i="1"/>
  <c r="J152" i="1"/>
  <c r="J151" i="1"/>
  <c r="J150" i="1"/>
  <c r="J141" i="1"/>
  <c r="J140" i="1"/>
  <c r="J139" i="1"/>
  <c r="J138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0" i="1"/>
  <c r="J71" i="1"/>
  <c r="J70" i="1"/>
  <c r="J69" i="1"/>
  <c r="J68" i="1"/>
  <c r="J67" i="1"/>
  <c r="J66" i="1"/>
  <c r="J65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72" i="1"/>
  <c r="J2" i="1"/>
  <c r="L21" i="1"/>
  <c r="L22" i="1"/>
  <c r="K22" i="1"/>
  <c r="K21" i="1"/>
  <c r="H22" i="1"/>
  <c r="I22" i="1" s="1"/>
  <c r="H21" i="1"/>
  <c r="I21" i="1" s="1"/>
  <c r="G17" i="7"/>
  <c r="G18" i="7"/>
  <c r="G19" i="7"/>
  <c r="G20" i="7"/>
  <c r="G21" i="7"/>
  <c r="G22" i="7"/>
  <c r="G7" i="7"/>
  <c r="G8" i="7"/>
  <c r="G9" i="7"/>
  <c r="G10" i="7"/>
  <c r="G11" i="7"/>
  <c r="G12" i="7"/>
  <c r="G13" i="7"/>
  <c r="G14" i="7"/>
  <c r="G15" i="7"/>
  <c r="G16" i="7"/>
  <c r="G6" i="7"/>
  <c r="G5" i="7"/>
  <c r="G9" i="6"/>
  <c r="G10" i="6"/>
  <c r="G11" i="6"/>
  <c r="G12" i="6"/>
  <c r="G8" i="6"/>
  <c r="G7" i="6"/>
  <c r="G6" i="6"/>
  <c r="G5" i="6"/>
  <c r="I20" i="5"/>
  <c r="J20" i="5" l="1"/>
  <c r="D19" i="5" l="1"/>
  <c r="D18" i="5"/>
  <c r="D17" i="5"/>
  <c r="D16" i="5"/>
  <c r="D15" i="5"/>
  <c r="D14" i="5"/>
  <c r="C27" i="4"/>
  <c r="C26" i="4"/>
  <c r="C25" i="4"/>
  <c r="C24" i="4"/>
  <c r="C23" i="4"/>
  <c r="C22" i="4"/>
  <c r="B27" i="4"/>
  <c r="B26" i="4"/>
  <c r="B25" i="4"/>
  <c r="B24" i="4"/>
  <c r="B23" i="4"/>
  <c r="B22" i="4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9" i="1"/>
  <c r="L40" i="1"/>
  <c r="L41" i="1"/>
  <c r="L42" i="1"/>
  <c r="L43" i="1"/>
  <c r="L18" i="1"/>
  <c r="L19" i="1"/>
  <c r="L2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7" i="1"/>
  <c r="L8" i="1"/>
  <c r="L9" i="1"/>
  <c r="L10" i="1"/>
  <c r="L11" i="1"/>
  <c r="L12" i="1"/>
  <c r="L13" i="1"/>
  <c r="L14" i="1"/>
  <c r="L15" i="1"/>
  <c r="L16" i="1"/>
  <c r="L17" i="1"/>
  <c r="L3" i="1"/>
  <c r="L4" i="1"/>
  <c r="L5" i="1"/>
  <c r="L6" i="1"/>
  <c r="L2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K70" i="1"/>
  <c r="H70" i="1"/>
  <c r="I70" i="1" s="1"/>
  <c r="K43" i="1"/>
  <c r="K42" i="1"/>
  <c r="K41" i="1"/>
  <c r="K40" i="1"/>
  <c r="K39" i="1"/>
  <c r="H43" i="1"/>
  <c r="I43" i="1" s="1"/>
  <c r="H42" i="1"/>
  <c r="I42" i="1" s="1"/>
  <c r="H41" i="1"/>
  <c r="I41" i="1" s="1"/>
  <c r="H40" i="1"/>
  <c r="I40" i="1" s="1"/>
  <c r="H39" i="1"/>
  <c r="I39" i="1" s="1"/>
  <c r="K17" i="1"/>
  <c r="K16" i="1"/>
  <c r="K15" i="1"/>
  <c r="K14" i="1"/>
  <c r="K13" i="1"/>
  <c r="K12" i="1"/>
  <c r="K11" i="1"/>
  <c r="K10" i="1"/>
  <c r="K9" i="1"/>
  <c r="K8" i="1"/>
  <c r="K7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K2" i="1"/>
  <c r="K10" i="4"/>
  <c r="L7" i="5"/>
  <c r="E16" i="2"/>
  <c r="H6" i="2" s="1"/>
  <c r="F15" i="2"/>
  <c r="F14" i="2"/>
  <c r="F13" i="2"/>
  <c r="F12" i="2"/>
  <c r="F11" i="2"/>
  <c r="F10" i="2"/>
  <c r="F9" i="2"/>
  <c r="F8" i="2"/>
  <c r="F7" i="2"/>
  <c r="F6" i="2"/>
  <c r="H3" i="1"/>
  <c r="I3" i="1" s="1"/>
  <c r="K3" i="1"/>
  <c r="H4" i="1"/>
  <c r="I4" i="1" s="1"/>
  <c r="K4" i="1"/>
  <c r="H5" i="1"/>
  <c r="I5" i="1" s="1"/>
  <c r="K5" i="1"/>
  <c r="H6" i="1"/>
  <c r="I6" i="1" s="1"/>
  <c r="K6" i="1"/>
  <c r="H18" i="1"/>
  <c r="I18" i="1" s="1"/>
  <c r="K18" i="1"/>
  <c r="H19" i="1"/>
  <c r="I19" i="1" s="1"/>
  <c r="K19" i="1"/>
  <c r="H20" i="1"/>
  <c r="I20" i="1" s="1"/>
  <c r="K20" i="1"/>
  <c r="H23" i="1"/>
  <c r="I23" i="1" s="1"/>
  <c r="K23" i="1"/>
  <c r="H24" i="1"/>
  <c r="I24" i="1" s="1"/>
  <c r="K24" i="1"/>
  <c r="H25" i="1"/>
  <c r="I25" i="1" s="1"/>
  <c r="K25" i="1"/>
  <c r="H26" i="1"/>
  <c r="I26" i="1" s="1"/>
  <c r="K26" i="1"/>
  <c r="H27" i="1"/>
  <c r="I27" i="1" s="1"/>
  <c r="K27" i="1"/>
  <c r="H28" i="1"/>
  <c r="I28" i="1" s="1"/>
  <c r="K28" i="1"/>
  <c r="H29" i="1"/>
  <c r="I29" i="1" s="1"/>
  <c r="K29" i="1"/>
  <c r="H30" i="1"/>
  <c r="I30" i="1" s="1"/>
  <c r="K30" i="1"/>
  <c r="H31" i="1"/>
  <c r="I31" i="1" s="1"/>
  <c r="K31" i="1"/>
  <c r="H32" i="1"/>
  <c r="I32" i="1" s="1"/>
  <c r="K32" i="1"/>
  <c r="H33" i="1"/>
  <c r="I33" i="1" s="1"/>
  <c r="K33" i="1"/>
  <c r="H34" i="1"/>
  <c r="I34" i="1" s="1"/>
  <c r="K34" i="1"/>
  <c r="H35" i="1"/>
  <c r="I35" i="1" s="1"/>
  <c r="K35" i="1"/>
  <c r="H36" i="1"/>
  <c r="I36" i="1" s="1"/>
  <c r="K36" i="1"/>
  <c r="H37" i="1"/>
  <c r="I37" i="1" s="1"/>
  <c r="K37" i="1"/>
  <c r="H38" i="1"/>
  <c r="I38" i="1" s="1"/>
  <c r="K38" i="1"/>
  <c r="H44" i="1"/>
  <c r="I44" i="1" s="1"/>
  <c r="K44" i="1"/>
  <c r="H45" i="1"/>
  <c r="I45" i="1" s="1"/>
  <c r="K45" i="1"/>
  <c r="H46" i="1"/>
  <c r="I46" i="1" s="1"/>
  <c r="K46" i="1"/>
  <c r="H47" i="1"/>
  <c r="I47" i="1" s="1"/>
  <c r="K47" i="1"/>
  <c r="H48" i="1"/>
  <c r="I48" i="1" s="1"/>
  <c r="K48" i="1"/>
  <c r="H49" i="1"/>
  <c r="I49" i="1" s="1"/>
  <c r="K49" i="1"/>
  <c r="H50" i="1"/>
  <c r="I50" i="1" s="1"/>
  <c r="K50" i="1"/>
  <c r="H51" i="1"/>
  <c r="I51" i="1" s="1"/>
  <c r="K51" i="1"/>
  <c r="H52" i="1"/>
  <c r="I52" i="1" s="1"/>
  <c r="K52" i="1"/>
  <c r="H53" i="1"/>
  <c r="I53" i="1" s="1"/>
  <c r="K53" i="1"/>
  <c r="H54" i="1"/>
  <c r="I54" i="1" s="1"/>
  <c r="K54" i="1"/>
  <c r="H55" i="1"/>
  <c r="I55" i="1" s="1"/>
  <c r="K55" i="1"/>
  <c r="H56" i="1"/>
  <c r="I56" i="1" s="1"/>
  <c r="K56" i="1"/>
  <c r="H57" i="1"/>
  <c r="I57" i="1" s="1"/>
  <c r="K57" i="1"/>
  <c r="H58" i="1"/>
  <c r="I58" i="1" s="1"/>
  <c r="K58" i="1"/>
  <c r="H59" i="1"/>
  <c r="I59" i="1" s="1"/>
  <c r="K59" i="1"/>
  <c r="H60" i="1"/>
  <c r="I60" i="1" s="1"/>
  <c r="K60" i="1"/>
  <c r="H61" i="1"/>
  <c r="I61" i="1" s="1"/>
  <c r="K61" i="1"/>
  <c r="H62" i="1"/>
  <c r="I62" i="1" s="1"/>
  <c r="K62" i="1"/>
  <c r="H63" i="1"/>
  <c r="I63" i="1" s="1"/>
  <c r="K63" i="1"/>
  <c r="H64" i="1"/>
  <c r="I64" i="1" s="1"/>
  <c r="K64" i="1"/>
  <c r="H65" i="1"/>
  <c r="I65" i="1" s="1"/>
  <c r="K65" i="1"/>
  <c r="H66" i="1"/>
  <c r="I66" i="1" s="1"/>
  <c r="K66" i="1"/>
  <c r="H67" i="1"/>
  <c r="I67" i="1" s="1"/>
  <c r="K67" i="1"/>
  <c r="H68" i="1"/>
  <c r="I68" i="1" s="1"/>
  <c r="K68" i="1"/>
  <c r="H69" i="1"/>
  <c r="I69" i="1" s="1"/>
  <c r="K69" i="1"/>
  <c r="H2" i="1"/>
  <c r="I2" i="1" s="1"/>
  <c r="H16" i="5"/>
  <c r="I17" i="5"/>
  <c r="D23" i="4"/>
  <c r="E16" i="5"/>
  <c r="F17" i="5"/>
  <c r="G14" i="5"/>
  <c r="D22" i="4"/>
  <c r="F16" i="5"/>
  <c r="H18" i="5"/>
  <c r="I19" i="5"/>
  <c r="I15" i="5"/>
  <c r="G18" i="5"/>
  <c r="H19" i="5"/>
  <c r="F20" i="5"/>
  <c r="D26" i="4"/>
  <c r="E19" i="5"/>
  <c r="H15" i="5"/>
  <c r="I16" i="5"/>
  <c r="E15" i="5"/>
  <c r="G17" i="5"/>
  <c r="D25" i="4"/>
  <c r="E18" i="5"/>
  <c r="H20" i="5"/>
  <c r="E14" i="5"/>
  <c r="F15" i="5"/>
  <c r="G16" i="5"/>
  <c r="H17" i="5"/>
  <c r="I18" i="5"/>
  <c r="D24" i="4"/>
  <c r="E17" i="5"/>
  <c r="F18" i="5"/>
  <c r="G19" i="5"/>
  <c r="I14" i="5"/>
  <c r="G20" i="5"/>
  <c r="D27" i="4"/>
  <c r="F14" i="5"/>
  <c r="G15" i="5"/>
  <c r="F19" i="5"/>
  <c r="H14" i="5"/>
  <c r="F16" i="2" l="1"/>
  <c r="H7" i="2" s="1"/>
  <c r="H9" i="2" s="1"/>
  <c r="H10" i="2" s="1"/>
  <c r="H11" i="2" s="1"/>
  <c r="E20" i="5"/>
  <c r="J14" i="5"/>
  <c r="J15" i="5"/>
  <c r="J16" i="5"/>
  <c r="J17" i="5"/>
  <c r="J18" i="5"/>
  <c r="J19" i="5"/>
  <c r="D28" i="4"/>
  <c r="E28" i="4" s="1"/>
  <c r="H8" i="2" l="1"/>
  <c r="E22" i="4"/>
  <c r="E26" i="4"/>
  <c r="H13" i="2"/>
  <c r="H12" i="2"/>
  <c r="E24" i="4"/>
  <c r="E27" i="4"/>
  <c r="E25" i="4"/>
  <c r="E23" i="4"/>
</calcChain>
</file>

<file path=xl/sharedStrings.xml><?xml version="1.0" encoding="utf-8"?>
<sst xmlns="http://schemas.openxmlformats.org/spreadsheetml/2006/main" count="718" uniqueCount="83">
  <si>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</si>
  <si>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</si>
  <si>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</si>
  <si>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</si>
  <si>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</si>
  <si>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</si>
  <si>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</si>
  <si>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</si>
  <si>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</si>
  <si>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</si>
  <si>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</si>
  <si>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</si>
  <si>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</si>
  <si>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</si>
  <si>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</si>
  <si>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</si>
  <si>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</si>
  <si>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</si>
  <si>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</si>
  <si>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</si>
  <si>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</si>
  <si>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</si>
  <si>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</si>
  <si>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</si>
  <si>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</si>
  <si>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</si>
  <si>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</si>
  <si>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</si>
  <si>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</si>
  <si>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</si>
  <si>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</si>
  <si>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</si>
  <si>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</si>
  <si>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</si>
  <si>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</si>
  <si>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</si>
  <si>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</si>
  <si>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</si>
  <si>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</si>
  <si>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</si>
  <si>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</si>
  <si>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</si>
  <si>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</si>
  <si>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</si>
  <si>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</si>
  <si>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</si>
  <si>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</si>
  <si>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</si>
  <si>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</si>
  <si>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</si>
  <si>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</si>
  <si>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</si>
  <si>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Pino</t>
  </si>
  <si>
    <t>10 - 19.9</t>
  </si>
  <si>
    <t>20 - 29.9</t>
  </si>
  <si>
    <t>Aliso</t>
  </si>
  <si>
    <t>Roble</t>
  </si>
  <si>
    <t>Pinus sp.</t>
  </si>
  <si>
    <t>Alnus sp.</t>
  </si>
  <si>
    <t>Quercus sp.</t>
  </si>
  <si>
    <t>Canac</t>
  </si>
  <si>
    <t>Quiratodendron pentadactilon</t>
  </si>
  <si>
    <t>Cipres</t>
  </si>
  <si>
    <t>Cupressus lusitanica</t>
  </si>
  <si>
    <t xml:space="preserve">Chilube </t>
  </si>
  <si>
    <t>NI</t>
  </si>
  <si>
    <t>50 - 59.9</t>
  </si>
  <si>
    <t>60 - 69.9</t>
  </si>
  <si>
    <t>Arbutus xalapensis</t>
  </si>
  <si>
    <t>Chiranthodendron pentadactylon</t>
  </si>
  <si>
    <t>Ciprés</t>
  </si>
  <si>
    <t>X</t>
  </si>
  <si>
    <t>Y</t>
  </si>
  <si>
    <t>AREA PARCELA</t>
  </si>
  <si>
    <t>AREA TOTAL</t>
  </si>
  <si>
    <t>FECHA</t>
  </si>
  <si>
    <t>PROPIETARIO</t>
  </si>
  <si>
    <t>Perfecto Saucedo Ramirez</t>
  </si>
  <si>
    <t>BASE_DATOS</t>
  </si>
  <si>
    <t>AÑO</t>
  </si>
  <si>
    <t>MUNICIPIO</t>
  </si>
  <si>
    <t>DEPTO</t>
  </si>
  <si>
    <t>BD11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</si>
</sst>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i/>
      <sz val="11"/>
      <color rgb="FF00000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2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/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2" fontId="0" fillId="5" borderId="3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2" fontId="0" fillId="0" borderId="0" xfId="0" applyNumberFormat="1" applyFont="1" applyFill="1" applyBorder="1"/>
    <xf numFmtId="2" fontId="0" fillId="5" borderId="2" xfId="0" applyNumberFormat="1" applyFill="1" applyBorder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7" fontId="0" fillId="0" borderId="0" xfId="0" applyNumberFormat="1"/>
    <xf numFmtId="0" fontId="8" fillId="9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39"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585.023920486114" createdVersion="3" refreshedVersion="3" minRefreshableVersion="3" recordCount="193">
  <cacheSource type="worksheet">
    <worksheetSource ref="A1:L194" sheet="base de datos"/>
  </cacheSource>
  <cacheFields count="12">
    <cacheField name="Parcel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No. Arbol" numFmtId="0">
      <sharedItems containsSemiMixedTypes="0" containsString="0" containsNumber="1" containsInteger="1" minValue="1" maxValue="37"/>
    </cacheField>
    <cacheField name="Nombre común" numFmtId="0">
      <sharedItems count="6">
        <s v="Pino"/>
        <s v="Aliso"/>
        <s v="Roble"/>
        <s v="Canac"/>
        <s v="Cipres"/>
        <s v="Chilube "/>
      </sharedItems>
    </cacheField>
    <cacheField name="Especie" numFmtId="0">
      <sharedItems count="6">
        <s v="Pinus sp."/>
        <s v="Alnus sp."/>
        <s v="Quercus sp."/>
        <s v="Quiratodendron pentadactilon"/>
        <s v="Cupressus lusitanica"/>
        <s v="NI"/>
      </sharedItems>
    </cacheField>
    <cacheField name="Clase diámetrica" numFmtId="0">
      <sharedItems count="4">
        <s v="20 - 29.9"/>
        <s v="10 - 19.9"/>
        <s v="50 - 59.9"/>
        <s v="60 - 69.9"/>
      </sharedItems>
    </cacheField>
    <cacheField name="DAP (cm)" numFmtId="0">
      <sharedItems containsSemiMixedTypes="0" containsString="0" containsNumber="1" containsInteger="1" minValue="10" maxValue="66"/>
    </cacheField>
    <cacheField name="Altura (m)" numFmtId="0">
      <sharedItems containsSemiMixedTypes="0" containsString="0" containsNumber="1" containsInteger="1" minValue="5" maxValue="18"/>
    </cacheField>
    <cacheField name="Area Basal (m2)" numFmtId="2">
      <sharedItems containsSemiMixedTypes="0" containsString="0" containsNumber="1" minValue="7.8540000000000016E-3" maxValue="0.34212024000000002"/>
    </cacheField>
    <cacheField name="AB/Ha." numFmtId="2">
      <sharedItems containsSemiMixedTypes="0" containsString="0" containsNumber="1" minValue="5.2360000000000011E-2" maxValue="2.2808016000000002"/>
    </cacheField>
    <cacheField name="Volumen (m3)" numFmtId="2">
      <sharedItems containsSemiMixedTypes="0" containsString="0" containsNumber="1" minValue="2.5676920799999999E-2" maxValue="3.7542308580000001"/>
    </cacheField>
    <cacheField name="Volumen/Ha." numFmtId="2">
      <sharedItems containsSemiMixedTypes="0" containsString="0" containsNumber="1" minValue="0.171179472" maxValue="25.028205720000003"/>
    </cacheField>
    <cacheField name="Densidad/Ha." numFmtId="2">
      <sharedItems containsSemiMixedTypes="0" containsString="0" containsNumber="1" minValue="2.8571428571428572" maxValue="2.8571428571428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0"/>
    <n v="1"/>
    <x v="0"/>
    <x v="0"/>
    <x v="0"/>
    <n v="20"/>
    <n v="12"/>
    <n v="3.1416000000000006E-2"/>
    <n v="0.15708000000000003"/>
    <n v="0.14238613680000001"/>
    <n v="0.94924091200000005"/>
    <n v="2.8571428571428572"/>
  </r>
  <r>
    <x v="0"/>
    <n v="2"/>
    <x v="1"/>
    <x v="1"/>
    <x v="1"/>
    <n v="14"/>
    <n v="6"/>
    <n v="1.5393840000000002E-2"/>
    <n v="7.6969200000000002E-2"/>
    <n v="0.16302009000000001"/>
    <n v="1.0868006000000001"/>
    <n v="2.8571428571428572"/>
  </r>
  <r>
    <x v="0"/>
    <n v="3"/>
    <x v="2"/>
    <x v="2"/>
    <x v="1"/>
    <n v="12"/>
    <n v="5"/>
    <n v="1.130976E-2"/>
    <n v="5.6548799999999996E-2"/>
    <n v="0.14181654599999999"/>
    <n v="0.94544363999999992"/>
    <n v="2.8571428571428572"/>
  </r>
  <r>
    <x v="0"/>
    <n v="4"/>
    <x v="1"/>
    <x v="1"/>
    <x v="1"/>
    <n v="17"/>
    <n v="10"/>
    <n v="2.2698060000000003E-2"/>
    <n v="0.1134903"/>
    <n v="0.24271937599999999"/>
    <n v="1.6181291733333334"/>
    <n v="2.8571428571428572"/>
  </r>
  <r>
    <x v="0"/>
    <n v="5"/>
    <x v="1"/>
    <x v="1"/>
    <x v="1"/>
    <n v="18"/>
    <n v="12"/>
    <n v="2.5446959999999998E-2"/>
    <n v="0.12723479999999998"/>
    <n v="0.28912537799999999"/>
    <n v="1.92750252"/>
    <n v="2.8571428571428572"/>
  </r>
  <r>
    <x v="0"/>
    <n v="6"/>
    <x v="1"/>
    <x v="1"/>
    <x v="1"/>
    <n v="15"/>
    <n v="10"/>
    <n v="1.76715E-2"/>
    <n v="8.8357499999999992E-2"/>
    <n v="0.212960016"/>
    <n v="1.4197334400000001"/>
    <n v="2.8571428571428572"/>
  </r>
  <r>
    <x v="0"/>
    <n v="7"/>
    <x v="1"/>
    <x v="1"/>
    <x v="1"/>
    <n v="18"/>
    <n v="12"/>
    <n v="2.5446959999999998E-2"/>
    <n v="0.12723479999999998"/>
    <n v="0.28912537799999999"/>
    <n v="1.92750252"/>
    <n v="2.8571428571428572"/>
  </r>
  <r>
    <x v="0"/>
    <n v="8"/>
    <x v="1"/>
    <x v="1"/>
    <x v="1"/>
    <n v="12"/>
    <n v="6"/>
    <n v="1.130976E-2"/>
    <n v="5.6548799999999996E-2"/>
    <n v="0.14851240199999999"/>
    <n v="0.99008267999999999"/>
    <n v="2.8571428571428572"/>
  </r>
  <r>
    <x v="0"/>
    <n v="9"/>
    <x v="1"/>
    <x v="1"/>
    <x v="1"/>
    <n v="15"/>
    <n v="7"/>
    <n v="1.76715E-2"/>
    <n v="8.8357499999999992E-2"/>
    <n v="0.18157319100000002"/>
    <n v="1.2104879400000002"/>
    <n v="2.8571428571428572"/>
  </r>
  <r>
    <x v="0"/>
    <n v="10"/>
    <x v="1"/>
    <x v="1"/>
    <x v="1"/>
    <n v="15"/>
    <n v="7"/>
    <n v="1.76715E-2"/>
    <n v="8.8357499999999992E-2"/>
    <n v="0.18157319100000002"/>
    <n v="1.2104879400000002"/>
    <n v="2.8571428571428572"/>
  </r>
  <r>
    <x v="0"/>
    <n v="11"/>
    <x v="1"/>
    <x v="1"/>
    <x v="0"/>
    <n v="20"/>
    <n v="8"/>
    <n v="3.1416000000000006E-2"/>
    <n v="0.15708000000000003"/>
    <n v="0.25713406599999999"/>
    <n v="1.7142271066666668"/>
    <n v="2.8571428571428572"/>
  </r>
  <r>
    <x v="0"/>
    <n v="12"/>
    <x v="1"/>
    <x v="1"/>
    <x v="1"/>
    <n v="15"/>
    <n v="6"/>
    <n v="1.76715E-2"/>
    <n v="8.8357499999999992E-2"/>
    <n v="0.171110916"/>
    <n v="1.1407394400000002"/>
    <n v="2.8571428571428572"/>
  </r>
  <r>
    <x v="0"/>
    <n v="13"/>
    <x v="1"/>
    <x v="1"/>
    <x v="1"/>
    <n v="17"/>
    <n v="8"/>
    <n v="2.2698060000000003E-2"/>
    <n v="0.1134903"/>
    <n v="0.215842954"/>
    <n v="1.4389530266666668"/>
    <n v="2.8571428571428572"/>
  </r>
  <r>
    <x v="0"/>
    <n v="14"/>
    <x v="1"/>
    <x v="1"/>
    <x v="1"/>
    <n v="16"/>
    <n v="9"/>
    <n v="2.0106240000000001E-2"/>
    <n v="0.1005312"/>
    <n v="0.21547096199999999"/>
    <n v="1.4364730800000001"/>
    <n v="2.8571428571428572"/>
  </r>
  <r>
    <x v="0"/>
    <n v="15"/>
    <x v="1"/>
    <x v="1"/>
    <x v="1"/>
    <n v="19"/>
    <n v="8"/>
    <n v="2.835294E-2"/>
    <n v="0.14176469999999999"/>
    <n v="0.24262637800000003"/>
    <n v="1.6175091866666669"/>
    <n v="2.8571428571428572"/>
  </r>
  <r>
    <x v="0"/>
    <n v="16"/>
    <x v="1"/>
    <x v="1"/>
    <x v="1"/>
    <n v="17"/>
    <n v="7"/>
    <n v="2.2698060000000003E-2"/>
    <n v="0.1134903"/>
    <n v="0.202404743"/>
    <n v="1.3493649533333334"/>
    <n v="2.8571428571428572"/>
  </r>
  <r>
    <x v="0"/>
    <n v="17"/>
    <x v="1"/>
    <x v="1"/>
    <x v="1"/>
    <n v="14"/>
    <n v="6"/>
    <n v="1.5393840000000002E-2"/>
    <n v="7.6969200000000002E-2"/>
    <n v="0.16302009000000001"/>
    <n v="1.0868006000000001"/>
    <n v="2.8571428571428572"/>
  </r>
  <r>
    <x v="0"/>
    <n v="18"/>
    <x v="1"/>
    <x v="1"/>
    <x v="1"/>
    <n v="14"/>
    <n v="7"/>
    <n v="1.5393840000000002E-2"/>
    <n v="7.6969200000000002E-2"/>
    <n v="0.17213389400000001"/>
    <n v="1.1475592933333334"/>
    <n v="2.8571428571428572"/>
  </r>
  <r>
    <x v="0"/>
    <n v="19"/>
    <x v="1"/>
    <x v="1"/>
    <x v="1"/>
    <n v="14"/>
    <n v="7"/>
    <n v="1.5393840000000002E-2"/>
    <n v="7.6969200000000002E-2"/>
    <n v="0.17213389400000001"/>
    <n v="1.1475592933333334"/>
    <n v="2.8571428571428572"/>
  </r>
  <r>
    <x v="0"/>
    <n v="20"/>
    <x v="1"/>
    <x v="1"/>
    <x v="1"/>
    <n v="15"/>
    <n v="8"/>
    <n v="1.76715E-2"/>
    <n v="8.8357499999999992E-2"/>
    <n v="0.19203546599999999"/>
    <n v="1.2802364399999999"/>
    <n v="2.8571428571428572"/>
  </r>
  <r>
    <x v="0"/>
    <n v="21"/>
    <x v="1"/>
    <x v="1"/>
    <x v="1"/>
    <n v="14"/>
    <n v="9"/>
    <n v="1.5393840000000002E-2"/>
    <n v="7.6969200000000002E-2"/>
    <n v="0.19036150200000002"/>
    <n v="1.2690766800000002"/>
    <n v="2.8571428571428572"/>
  </r>
  <r>
    <x v="0"/>
    <n v="22"/>
    <x v="1"/>
    <x v="1"/>
    <x v="1"/>
    <n v="16"/>
    <n v="8"/>
    <n v="2.0106240000000001E-2"/>
    <n v="0.1005312"/>
    <n v="0.20356721799999999"/>
    <n v="1.3571147866666666"/>
    <n v="2.8571428571428572"/>
  </r>
  <r>
    <x v="0"/>
    <n v="23"/>
    <x v="1"/>
    <x v="1"/>
    <x v="0"/>
    <n v="20"/>
    <n v="9"/>
    <n v="3.1416000000000006E-2"/>
    <n v="0.15708000000000003"/>
    <n v="0.27573366599999999"/>
    <n v="1.8382244400000001"/>
    <n v="2.8571428571428572"/>
  </r>
  <r>
    <x v="1"/>
    <n v="1"/>
    <x v="2"/>
    <x v="2"/>
    <x v="1"/>
    <n v="13"/>
    <n v="8"/>
    <n v="1.3273260000000002E-2"/>
    <n v="8.8488400000000023E-2"/>
    <n v="0.17120391400000001"/>
    <n v="1.1413594266666669"/>
    <n v="2.8571428571428572"/>
  </r>
  <r>
    <x v="1"/>
    <n v="2"/>
    <x v="2"/>
    <x v="2"/>
    <x v="1"/>
    <n v="10"/>
    <n v="6"/>
    <n v="7.8540000000000016E-3"/>
    <n v="5.2360000000000011E-2"/>
    <n v="0.13623666600000001"/>
    <n v="0.90824444000000004"/>
    <n v="2.8571428571428572"/>
  </r>
  <r>
    <x v="1"/>
    <n v="3"/>
    <x v="2"/>
    <x v="2"/>
    <x v="1"/>
    <n v="10"/>
    <n v="6"/>
    <n v="7.8540000000000016E-3"/>
    <n v="5.2360000000000011E-2"/>
    <n v="0.13623666600000001"/>
    <n v="0.90824444000000004"/>
    <n v="2.8571428571428572"/>
  </r>
  <r>
    <x v="1"/>
    <n v="4"/>
    <x v="3"/>
    <x v="3"/>
    <x v="1"/>
    <n v="12"/>
    <n v="6"/>
    <n v="1.130976E-2"/>
    <n v="7.5398400000000004E-2"/>
    <n v="0.14851240199999999"/>
    <n v="0.99008267999999999"/>
    <n v="2.8571428571428572"/>
  </r>
  <r>
    <x v="1"/>
    <n v="5"/>
    <x v="3"/>
    <x v="3"/>
    <x v="1"/>
    <n v="16"/>
    <n v="7"/>
    <n v="2.0106240000000001E-2"/>
    <n v="0.13404160000000001"/>
    <n v="0.191663474"/>
    <n v="1.2777564933333334"/>
    <n v="2.8571428571428572"/>
  </r>
  <r>
    <x v="1"/>
    <n v="6"/>
    <x v="1"/>
    <x v="1"/>
    <x v="1"/>
    <n v="15"/>
    <n v="8"/>
    <n v="1.76715E-2"/>
    <n v="0.11781"/>
    <n v="0.19203546599999999"/>
    <n v="1.2802364399999999"/>
    <n v="2.8571428571428572"/>
  </r>
  <r>
    <x v="1"/>
    <n v="7"/>
    <x v="1"/>
    <x v="1"/>
    <x v="1"/>
    <n v="17"/>
    <n v="10"/>
    <n v="2.2698060000000003E-2"/>
    <n v="0.15132040000000002"/>
    <n v="0.24271937599999999"/>
    <n v="1.6181291733333334"/>
    <n v="2.8571428571428572"/>
  </r>
  <r>
    <x v="1"/>
    <n v="8"/>
    <x v="1"/>
    <x v="1"/>
    <x v="1"/>
    <n v="15"/>
    <n v="8"/>
    <n v="1.76715E-2"/>
    <n v="0.11781"/>
    <n v="0.19203546599999999"/>
    <n v="1.2802364399999999"/>
    <n v="2.8571428571428572"/>
  </r>
  <r>
    <x v="1"/>
    <n v="9"/>
    <x v="1"/>
    <x v="1"/>
    <x v="0"/>
    <n v="20"/>
    <n v="10"/>
    <n v="3.1416000000000006E-2"/>
    <n v="0.20944000000000004"/>
    <n v="0.29433326600000004"/>
    <n v="1.9622217733333336"/>
    <n v="2.8571428571428572"/>
  </r>
  <r>
    <x v="1"/>
    <n v="10"/>
    <x v="1"/>
    <x v="1"/>
    <x v="1"/>
    <n v="10"/>
    <n v="5"/>
    <n v="7.8540000000000016E-3"/>
    <n v="5.2360000000000011E-2"/>
    <n v="0.13158676599999999"/>
    <n v="0.87724510666666666"/>
    <n v="2.8571428571428572"/>
  </r>
  <r>
    <x v="1"/>
    <n v="11"/>
    <x v="1"/>
    <x v="1"/>
    <x v="1"/>
    <n v="10"/>
    <n v="6"/>
    <n v="7.8540000000000016E-3"/>
    <n v="5.2360000000000011E-2"/>
    <n v="0.13623666600000001"/>
    <n v="0.90824444000000004"/>
    <n v="2.8571428571428572"/>
  </r>
  <r>
    <x v="1"/>
    <n v="12"/>
    <x v="1"/>
    <x v="1"/>
    <x v="1"/>
    <n v="12"/>
    <n v="7"/>
    <n v="1.130976E-2"/>
    <n v="7.5398400000000004E-2"/>
    <n v="0.15520825799999999"/>
    <n v="1.0347217200000001"/>
    <n v="2.8571428571428572"/>
  </r>
  <r>
    <x v="1"/>
    <n v="13"/>
    <x v="1"/>
    <x v="1"/>
    <x v="0"/>
    <n v="20"/>
    <n v="9"/>
    <n v="3.1416000000000006E-2"/>
    <n v="0.20944000000000004"/>
    <n v="0.27573366599999999"/>
    <n v="1.8382244400000001"/>
    <n v="2.8571428571428572"/>
  </r>
  <r>
    <x v="1"/>
    <n v="14"/>
    <x v="1"/>
    <x v="1"/>
    <x v="1"/>
    <n v="17"/>
    <n v="8"/>
    <n v="2.2698060000000003E-2"/>
    <n v="0.15132040000000002"/>
    <n v="0.215842954"/>
    <n v="1.4389530266666668"/>
    <n v="2.8571428571428572"/>
  </r>
  <r>
    <x v="1"/>
    <n v="15"/>
    <x v="1"/>
    <x v="1"/>
    <x v="1"/>
    <n v="15"/>
    <n v="8"/>
    <n v="1.76715E-2"/>
    <n v="0.11781"/>
    <n v="0.19203546599999999"/>
    <n v="1.2802364399999999"/>
    <n v="2.8571428571428572"/>
  </r>
  <r>
    <x v="1"/>
    <n v="16"/>
    <x v="1"/>
    <x v="1"/>
    <x v="1"/>
    <n v="16"/>
    <n v="8"/>
    <n v="2.0106240000000001E-2"/>
    <n v="0.13404160000000001"/>
    <n v="0.20356721799999999"/>
    <n v="1.3571147866666666"/>
    <n v="2.8571428571428572"/>
  </r>
  <r>
    <x v="1"/>
    <n v="17"/>
    <x v="1"/>
    <x v="1"/>
    <x v="1"/>
    <n v="15"/>
    <n v="7"/>
    <n v="1.76715E-2"/>
    <n v="0.11781"/>
    <n v="0.18157319100000002"/>
    <n v="1.2104879400000002"/>
    <n v="2.8571428571428572"/>
  </r>
  <r>
    <x v="1"/>
    <n v="18"/>
    <x v="1"/>
    <x v="1"/>
    <x v="1"/>
    <n v="14"/>
    <n v="8"/>
    <n v="1.5393840000000002E-2"/>
    <n v="0.10262560000000003"/>
    <n v="0.18124769800000001"/>
    <n v="1.2083179866666669"/>
    <n v="2.8571428571428572"/>
  </r>
  <r>
    <x v="1"/>
    <n v="19"/>
    <x v="1"/>
    <x v="1"/>
    <x v="1"/>
    <n v="17"/>
    <n v="8"/>
    <n v="2.2698060000000003E-2"/>
    <n v="0.15132040000000002"/>
    <n v="0.215842954"/>
    <n v="1.4389530266666668"/>
    <n v="2.8571428571428572"/>
  </r>
  <r>
    <x v="1"/>
    <n v="20"/>
    <x v="1"/>
    <x v="1"/>
    <x v="1"/>
    <n v="18"/>
    <n v="7"/>
    <n v="2.5446959999999998E-2"/>
    <n v="0.1696464"/>
    <n v="0.21379699800000002"/>
    <n v="1.4253133200000001"/>
    <n v="2.8571428571428572"/>
  </r>
  <r>
    <x v="1"/>
    <n v="21"/>
    <x v="1"/>
    <x v="1"/>
    <x v="1"/>
    <n v="19"/>
    <n v="8"/>
    <n v="2.835294E-2"/>
    <n v="0.18901960000000001"/>
    <n v="0.24262637800000003"/>
    <n v="1.6175091866666669"/>
    <n v="2.8571428571428572"/>
  </r>
  <r>
    <x v="1"/>
    <n v="22"/>
    <x v="1"/>
    <x v="1"/>
    <x v="0"/>
    <n v="20"/>
    <n v="14"/>
    <n v="3.1416000000000006E-2"/>
    <n v="0.20944000000000004"/>
    <n v="0.36873166600000001"/>
    <n v="2.458211106666667"/>
    <n v="2.8571428571428572"/>
  </r>
  <r>
    <x v="1"/>
    <n v="23"/>
    <x v="1"/>
    <x v="1"/>
    <x v="1"/>
    <n v="19"/>
    <n v="9"/>
    <n v="2.835294E-2"/>
    <n v="0.18901960000000001"/>
    <n v="0.25941251700000001"/>
    <n v="1.7294167800000002"/>
    <n v="2.8571428571428572"/>
  </r>
  <r>
    <x v="1"/>
    <n v="24"/>
    <x v="1"/>
    <x v="1"/>
    <x v="1"/>
    <n v="17"/>
    <n v="8"/>
    <n v="2.2698060000000003E-2"/>
    <n v="0.15132040000000002"/>
    <n v="0.215842954"/>
    <n v="1.4389530266666668"/>
    <n v="2.8571428571428572"/>
  </r>
  <r>
    <x v="2"/>
    <n v="1"/>
    <x v="1"/>
    <x v="1"/>
    <x v="0"/>
    <n v="20"/>
    <n v="10"/>
    <n v="3.1416000000000006E-2"/>
    <n v="0.20944000000000004"/>
    <n v="0.29433326600000004"/>
    <n v="1.9622217733333336"/>
    <n v="2.8571428571428572"/>
  </r>
  <r>
    <x v="2"/>
    <n v="2"/>
    <x v="1"/>
    <x v="1"/>
    <x v="1"/>
    <n v="18"/>
    <n v="8"/>
    <n v="2.5446959999999998E-2"/>
    <n v="0.1696464"/>
    <n v="0.22886267400000002"/>
    <n v="1.5257511600000002"/>
    <n v="2.8571428571428572"/>
  </r>
  <r>
    <x v="2"/>
    <n v="3"/>
    <x v="1"/>
    <x v="1"/>
    <x v="1"/>
    <n v="17"/>
    <n v="7"/>
    <n v="2.2698060000000003E-2"/>
    <n v="0.15132040000000002"/>
    <n v="0.202404743"/>
    <n v="1.3493649533333334"/>
    <n v="2.8571428571428572"/>
  </r>
  <r>
    <x v="2"/>
    <n v="4"/>
    <x v="1"/>
    <x v="1"/>
    <x v="1"/>
    <n v="16"/>
    <n v="6"/>
    <n v="2.0106240000000001E-2"/>
    <n v="0.13404160000000001"/>
    <n v="0.17975973000000001"/>
    <n v="1.1983982000000002"/>
    <n v="2.8571428571428572"/>
  </r>
  <r>
    <x v="2"/>
    <n v="5"/>
    <x v="1"/>
    <x v="1"/>
    <x v="1"/>
    <n v="14"/>
    <n v="5"/>
    <n v="1.5393840000000002E-2"/>
    <n v="0.10262560000000003"/>
    <n v="0.153906286"/>
    <n v="1.0260419066666668"/>
    <n v="2.8571428571428572"/>
  </r>
  <r>
    <x v="2"/>
    <n v="6"/>
    <x v="1"/>
    <x v="1"/>
    <x v="1"/>
    <n v="17"/>
    <n v="7"/>
    <n v="2.2698060000000003E-2"/>
    <n v="0.15132040000000002"/>
    <n v="0.202404743"/>
    <n v="1.3493649533333334"/>
    <n v="2.8571428571428572"/>
  </r>
  <r>
    <x v="2"/>
    <n v="7"/>
    <x v="1"/>
    <x v="1"/>
    <x v="1"/>
    <n v="14"/>
    <n v="5"/>
    <n v="1.5393840000000002E-2"/>
    <n v="0.10262560000000003"/>
    <n v="0.153906286"/>
    <n v="1.0260419066666668"/>
    <n v="2.8571428571428572"/>
  </r>
  <r>
    <x v="2"/>
    <n v="8"/>
    <x v="1"/>
    <x v="1"/>
    <x v="1"/>
    <n v="19"/>
    <n v="8"/>
    <n v="2.835294E-2"/>
    <n v="0.18901960000000001"/>
    <n v="0.24262637800000003"/>
    <n v="1.6175091866666669"/>
    <n v="2.8571428571428572"/>
  </r>
  <r>
    <x v="2"/>
    <n v="9"/>
    <x v="1"/>
    <x v="1"/>
    <x v="0"/>
    <n v="20"/>
    <n v="10"/>
    <n v="3.1416000000000006E-2"/>
    <n v="0.20944000000000004"/>
    <n v="0.29433326600000004"/>
    <n v="1.9622217733333336"/>
    <n v="2.8571428571428572"/>
  </r>
  <r>
    <x v="2"/>
    <n v="10"/>
    <x v="1"/>
    <x v="1"/>
    <x v="1"/>
    <n v="18"/>
    <n v="6"/>
    <n v="2.5446959999999998E-2"/>
    <n v="0.1696464"/>
    <n v="0.19873132199999999"/>
    <n v="1.32487548"/>
    <n v="2.8571428571428572"/>
  </r>
  <r>
    <x v="2"/>
    <n v="11"/>
    <x v="1"/>
    <x v="1"/>
    <x v="1"/>
    <n v="16"/>
    <n v="6"/>
    <n v="2.0106240000000001E-2"/>
    <n v="0.13404160000000001"/>
    <n v="0.17975973000000001"/>
    <n v="1.1983982000000002"/>
    <n v="2.8571428571428572"/>
  </r>
  <r>
    <x v="2"/>
    <n v="12"/>
    <x v="0"/>
    <x v="0"/>
    <x v="1"/>
    <n v="18"/>
    <n v="9"/>
    <n v="2.5446959999999998E-2"/>
    <n v="0.1696464"/>
    <n v="8.8493939999999993E-2"/>
    <n v="0.58995960000000003"/>
    <n v="2.8571428571428572"/>
  </r>
  <r>
    <x v="2"/>
    <n v="13"/>
    <x v="0"/>
    <x v="0"/>
    <x v="0"/>
    <n v="20"/>
    <n v="7"/>
    <n v="3.1416000000000006E-2"/>
    <n v="0.20944000000000004"/>
    <n v="8.5175736799999999E-2"/>
    <n v="0.56783824533333338"/>
    <n v="2.8571428571428572"/>
  </r>
  <r>
    <x v="2"/>
    <n v="14"/>
    <x v="0"/>
    <x v="0"/>
    <x v="1"/>
    <n v="17"/>
    <n v="6"/>
    <n v="2.2698060000000003E-2"/>
    <n v="0.15132040000000002"/>
    <n v="5.4682593599999996E-2"/>
    <n v="0.36455062399999999"/>
    <n v="2.8571428571428572"/>
  </r>
  <r>
    <x v="2"/>
    <n v="15"/>
    <x v="0"/>
    <x v="0"/>
    <x v="1"/>
    <n v="14"/>
    <n v="5"/>
    <n v="1.5393840000000002E-2"/>
    <n v="0.10262560000000003"/>
    <n v="3.3114272799999997E-2"/>
    <n v="0.22076181866666666"/>
    <n v="2.8571428571428572"/>
  </r>
  <r>
    <x v="2"/>
    <n v="16"/>
    <x v="0"/>
    <x v="0"/>
    <x v="1"/>
    <n v="19"/>
    <n v="7"/>
    <n v="2.835294E-2"/>
    <n v="0.18901960000000001"/>
    <n v="7.7366517199999998E-2"/>
    <n v="0.51577678133333338"/>
    <n v="2.8571428571428572"/>
  </r>
  <r>
    <x v="2"/>
    <n v="17"/>
    <x v="3"/>
    <x v="3"/>
    <x v="2"/>
    <n v="53"/>
    <n v="10"/>
    <n v="0.22061886000000003"/>
    <n v="1.4707924000000003"/>
    <n v="1.414494176"/>
    <n v="9.4299611733333339"/>
    <n v="2.8571428571428572"/>
  </r>
  <r>
    <x v="2"/>
    <n v="18"/>
    <x v="1"/>
    <x v="1"/>
    <x v="1"/>
    <n v="17"/>
    <n v="7"/>
    <n v="2.2698060000000003E-2"/>
    <n v="0.15132040000000002"/>
    <n v="0.202404743"/>
    <n v="1.3493649533333334"/>
    <n v="2.8571428571428572"/>
  </r>
  <r>
    <x v="2"/>
    <n v="19"/>
    <x v="1"/>
    <x v="1"/>
    <x v="1"/>
    <n v="18"/>
    <n v="7"/>
    <n v="2.5446959999999998E-2"/>
    <n v="0.1696464"/>
    <n v="0.21379699800000002"/>
    <n v="1.4253133200000001"/>
    <n v="2.8571428571428572"/>
  </r>
  <r>
    <x v="2"/>
    <n v="20"/>
    <x v="1"/>
    <x v="1"/>
    <x v="1"/>
    <n v="13"/>
    <n v="5"/>
    <n v="1.3273260000000002E-2"/>
    <n v="8.8488400000000023E-2"/>
    <n v="0.147628921"/>
    <n v="0.98419280666666664"/>
    <n v="2.8571428571428572"/>
  </r>
  <r>
    <x v="2"/>
    <n v="21"/>
    <x v="1"/>
    <x v="1"/>
    <x v="1"/>
    <n v="18"/>
    <n v="6"/>
    <n v="2.5446959999999998E-2"/>
    <n v="0.1696464"/>
    <n v="0.19873132199999999"/>
    <n v="1.32487548"/>
    <n v="2.8571428571428572"/>
  </r>
  <r>
    <x v="2"/>
    <n v="22"/>
    <x v="1"/>
    <x v="1"/>
    <x v="1"/>
    <n v="14"/>
    <n v="5"/>
    <n v="1.5393840000000002E-2"/>
    <n v="0.10262560000000003"/>
    <n v="0.153906286"/>
    <n v="1.0260419066666668"/>
    <n v="2.8571428571428572"/>
  </r>
  <r>
    <x v="3"/>
    <n v="1"/>
    <x v="1"/>
    <x v="1"/>
    <x v="0"/>
    <n v="20"/>
    <n v="8"/>
    <n v="3.1416000000000006E-2"/>
    <n v="0.20944000000000004"/>
    <n v="0.25713406599999999"/>
    <n v="1.7142271066666668"/>
    <n v="2.8571428571428572"/>
  </r>
  <r>
    <x v="3"/>
    <n v="2"/>
    <x v="4"/>
    <x v="4"/>
    <x v="1"/>
    <n v="19"/>
    <n v="10"/>
    <n v="2.835294E-2"/>
    <n v="0.18901960000000001"/>
    <n v="0.1178425662"/>
    <n v="0.78561710800000006"/>
    <n v="2.8571428571428572"/>
  </r>
  <r>
    <x v="3"/>
    <n v="3"/>
    <x v="4"/>
    <x v="4"/>
    <x v="1"/>
    <n v="15"/>
    <n v="8"/>
    <n v="1.76715E-2"/>
    <n v="0.11781"/>
    <n v="6.5509312200000003E-2"/>
    <n v="0.43672874800000006"/>
    <n v="2.8571428571428572"/>
  </r>
  <r>
    <x v="3"/>
    <n v="4"/>
    <x v="4"/>
    <x v="4"/>
    <x v="1"/>
    <n v="12"/>
    <n v="6"/>
    <n v="1.130976E-2"/>
    <n v="7.5398400000000004E-2"/>
    <n v="3.8446369800000005E-2"/>
    <n v="0.25630913200000005"/>
    <n v="2.8571428571428572"/>
  </r>
  <r>
    <x v="3"/>
    <n v="5"/>
    <x v="4"/>
    <x v="4"/>
    <x v="1"/>
    <n v="10"/>
    <n v="5"/>
    <n v="7.8540000000000016E-3"/>
    <n v="5.2360000000000011E-2"/>
    <n v="2.7921892199999999E-2"/>
    <n v="0.18614594800000001"/>
    <n v="2.8571428571428572"/>
  </r>
  <r>
    <x v="3"/>
    <n v="6"/>
    <x v="4"/>
    <x v="4"/>
    <x v="1"/>
    <n v="10"/>
    <n v="5"/>
    <n v="7.8540000000000016E-3"/>
    <n v="5.2360000000000011E-2"/>
    <n v="2.7921892199999999E-2"/>
    <n v="0.18614594800000001"/>
    <n v="2.8571428571428572"/>
  </r>
  <r>
    <x v="3"/>
    <n v="7"/>
    <x v="4"/>
    <x v="4"/>
    <x v="1"/>
    <n v="12"/>
    <n v="5"/>
    <n v="1.130976E-2"/>
    <n v="7.5398400000000004E-2"/>
    <n v="3.4282840199999998E-2"/>
    <n v="0.228552268"/>
    <n v="2.8571428571428572"/>
  </r>
  <r>
    <x v="3"/>
    <n v="8"/>
    <x v="4"/>
    <x v="4"/>
    <x v="1"/>
    <n v="10"/>
    <n v="5"/>
    <n v="7.8540000000000016E-3"/>
    <n v="5.2360000000000011E-2"/>
    <n v="2.7921892199999999E-2"/>
    <n v="0.18614594800000001"/>
    <n v="2.8571428571428572"/>
  </r>
  <r>
    <x v="3"/>
    <n v="9"/>
    <x v="4"/>
    <x v="4"/>
    <x v="1"/>
    <n v="14"/>
    <n v="7"/>
    <n v="1.5393840000000002E-2"/>
    <n v="0.10262560000000003"/>
    <n v="5.3134376999999997E-2"/>
    <n v="0.35422917999999998"/>
    <n v="2.8571428571428572"/>
  </r>
  <r>
    <x v="3"/>
    <n v="10"/>
    <x v="4"/>
    <x v="4"/>
    <x v="1"/>
    <n v="17"/>
    <n v="8"/>
    <n v="2.2698060000000003E-2"/>
    <n v="0.15132040000000002"/>
    <n v="8.031297300000001E-2"/>
    <n v="0.5354198200000001"/>
    <n v="2.8571428571428572"/>
  </r>
  <r>
    <x v="3"/>
    <n v="11"/>
    <x v="4"/>
    <x v="4"/>
    <x v="1"/>
    <n v="15"/>
    <n v="7"/>
    <n v="1.76715E-2"/>
    <n v="0.11781"/>
    <n v="5.9003797199999999E-2"/>
    <n v="0.39335864800000003"/>
    <n v="2.8571428571428572"/>
  </r>
  <r>
    <x v="3"/>
    <n v="12"/>
    <x v="4"/>
    <x v="4"/>
    <x v="1"/>
    <n v="18"/>
    <n v="8"/>
    <n v="2.5446959999999998E-2"/>
    <n v="0.1696464"/>
    <n v="8.8408725000000007E-2"/>
    <n v="0.58939150000000007"/>
    <n v="2.8571428571428572"/>
  </r>
  <r>
    <x v="3"/>
    <n v="13"/>
    <x v="4"/>
    <x v="4"/>
    <x v="1"/>
    <n v="19"/>
    <n v="9"/>
    <n v="2.835294E-2"/>
    <n v="0.18901960000000001"/>
    <n v="0.1074048288"/>
    <n v="0.71603219200000001"/>
    <n v="2.8571428571428572"/>
  </r>
  <r>
    <x v="3"/>
    <n v="14"/>
    <x v="4"/>
    <x v="4"/>
    <x v="1"/>
    <n v="12"/>
    <n v="5"/>
    <n v="1.130976E-2"/>
    <n v="7.5398400000000004E-2"/>
    <n v="3.4282840199999998E-2"/>
    <n v="0.228552268"/>
    <n v="2.8571428571428572"/>
  </r>
  <r>
    <x v="3"/>
    <n v="15"/>
    <x v="4"/>
    <x v="4"/>
    <x v="1"/>
    <n v="17"/>
    <n v="7"/>
    <n v="2.2698060000000003E-2"/>
    <n v="0.15132040000000002"/>
    <n v="7.1957000399999999E-2"/>
    <n v="0.47971333599999999"/>
    <n v="2.8571428571428572"/>
  </r>
  <r>
    <x v="3"/>
    <n v="16"/>
    <x v="4"/>
    <x v="4"/>
    <x v="1"/>
    <n v="14"/>
    <n v="6"/>
    <n v="1.5393840000000002E-2"/>
    <n v="0.10262560000000003"/>
    <n v="4.74673506E-2"/>
    <n v="0.31644900400000003"/>
    <n v="2.8571428571428572"/>
  </r>
  <r>
    <x v="3"/>
    <n v="17"/>
    <x v="4"/>
    <x v="4"/>
    <x v="1"/>
    <n v="16"/>
    <n v="7"/>
    <n v="2.0106240000000001E-2"/>
    <n v="0.13404160000000001"/>
    <n v="6.5278005E-2"/>
    <n v="0.43518670000000004"/>
    <n v="2.8571428571428572"/>
  </r>
  <r>
    <x v="3"/>
    <n v="18"/>
    <x v="4"/>
    <x v="4"/>
    <x v="1"/>
    <n v="17"/>
    <n v="7"/>
    <n v="2.2698060000000003E-2"/>
    <n v="0.15132040000000002"/>
    <n v="7.1957000399999999E-2"/>
    <n v="0.47971333599999999"/>
    <n v="2.8571428571428572"/>
  </r>
  <r>
    <x v="3"/>
    <n v="19"/>
    <x v="4"/>
    <x v="4"/>
    <x v="1"/>
    <n v="12"/>
    <n v="5"/>
    <n v="1.130976E-2"/>
    <n v="7.5398400000000004E-2"/>
    <n v="3.4282840199999998E-2"/>
    <n v="0.228552268"/>
    <n v="2.8571428571428572"/>
  </r>
  <r>
    <x v="3"/>
    <n v="20"/>
    <x v="3"/>
    <x v="3"/>
    <x v="3"/>
    <n v="66"/>
    <n v="18"/>
    <n v="0.34212024000000002"/>
    <n v="2.2808016000000002"/>
    <n v="3.7542308580000001"/>
    <n v="25.028205720000003"/>
    <n v="2.8571428571428572"/>
  </r>
  <r>
    <x v="3"/>
    <n v="21"/>
    <x v="4"/>
    <x v="4"/>
    <x v="1"/>
    <n v="12"/>
    <n v="5"/>
    <n v="1.130976E-2"/>
    <n v="7.5398400000000004E-2"/>
    <n v="3.4282840199999998E-2"/>
    <n v="0.228552268"/>
    <n v="2.8571428571428572"/>
  </r>
  <r>
    <x v="3"/>
    <n v="22"/>
    <x v="4"/>
    <x v="4"/>
    <x v="1"/>
    <n v="10"/>
    <n v="5"/>
    <n v="7.8540000000000016E-3"/>
    <n v="5.2360000000000011E-2"/>
    <n v="2.7921892199999999E-2"/>
    <n v="0.18614594800000001"/>
    <n v="2.8571428571428572"/>
  </r>
  <r>
    <x v="3"/>
    <n v="23"/>
    <x v="1"/>
    <x v="1"/>
    <x v="1"/>
    <n v="16"/>
    <n v="6"/>
    <n v="2.0106240000000001E-2"/>
    <n v="0.13404160000000001"/>
    <n v="0.17975973000000001"/>
    <n v="1.1983982000000002"/>
    <n v="2.8571428571428572"/>
  </r>
  <r>
    <x v="3"/>
    <n v="24"/>
    <x v="1"/>
    <x v="1"/>
    <x v="1"/>
    <n v="18"/>
    <n v="7"/>
    <n v="2.5446959999999998E-2"/>
    <n v="0.1696464"/>
    <n v="0.21379699800000002"/>
    <n v="1.4253133200000001"/>
    <n v="2.8571428571428572"/>
  </r>
  <r>
    <x v="4"/>
    <n v="1"/>
    <x v="1"/>
    <x v="1"/>
    <x v="1"/>
    <n v="17"/>
    <n v="10"/>
    <n v="2.2698060000000003E-2"/>
    <n v="0.15132040000000002"/>
    <n v="0.24271937599999999"/>
    <n v="1.6181291733333334"/>
    <n v="2.8571428571428572"/>
  </r>
  <r>
    <x v="4"/>
    <n v="2"/>
    <x v="1"/>
    <x v="1"/>
    <x v="1"/>
    <n v="16"/>
    <n v="9"/>
    <n v="2.0106240000000001E-2"/>
    <n v="0.13404160000000001"/>
    <n v="0.21547096199999999"/>
    <n v="1.4364730800000001"/>
    <n v="2.8571428571428572"/>
  </r>
  <r>
    <x v="4"/>
    <n v="3"/>
    <x v="1"/>
    <x v="1"/>
    <x v="1"/>
    <n v="18"/>
    <n v="9"/>
    <n v="2.5446959999999998E-2"/>
    <n v="0.1696464"/>
    <n v="0.24392835000000002"/>
    <n v="1.6261890000000001"/>
    <n v="2.8571428571428572"/>
  </r>
  <r>
    <x v="4"/>
    <n v="4"/>
    <x v="1"/>
    <x v="1"/>
    <x v="1"/>
    <n v="10"/>
    <n v="5"/>
    <n v="7.8540000000000016E-3"/>
    <n v="5.2360000000000011E-2"/>
    <n v="0.13158676599999999"/>
    <n v="0.87724510666666666"/>
    <n v="2.8571428571428572"/>
  </r>
  <r>
    <x v="4"/>
    <n v="5"/>
    <x v="1"/>
    <x v="1"/>
    <x v="1"/>
    <n v="14"/>
    <n v="6"/>
    <n v="1.5393840000000002E-2"/>
    <n v="0.10262560000000003"/>
    <n v="0.16302009000000001"/>
    <n v="1.0868006000000001"/>
    <n v="2.8571428571428572"/>
  </r>
  <r>
    <x v="4"/>
    <n v="6"/>
    <x v="1"/>
    <x v="1"/>
    <x v="1"/>
    <n v="13"/>
    <n v="5"/>
    <n v="1.3273260000000002E-2"/>
    <n v="8.8488400000000023E-2"/>
    <n v="0.147628921"/>
    <n v="0.98419280666666664"/>
    <n v="2.8571428571428572"/>
  </r>
  <r>
    <x v="4"/>
    <n v="7"/>
    <x v="1"/>
    <x v="1"/>
    <x v="1"/>
    <n v="12"/>
    <n v="5"/>
    <n v="1.130976E-2"/>
    <n v="7.5398400000000004E-2"/>
    <n v="0.14181654599999999"/>
    <n v="0.94544363999999992"/>
    <n v="2.8571428571428572"/>
  </r>
  <r>
    <x v="4"/>
    <n v="8"/>
    <x v="1"/>
    <x v="1"/>
    <x v="1"/>
    <n v="14"/>
    <n v="6"/>
    <n v="1.5393840000000002E-2"/>
    <n v="0.10262560000000003"/>
    <n v="0.16302009000000001"/>
    <n v="1.0868006000000001"/>
    <n v="2.8571428571428572"/>
  </r>
  <r>
    <x v="4"/>
    <n v="9"/>
    <x v="1"/>
    <x v="1"/>
    <x v="1"/>
    <n v="15"/>
    <n v="7"/>
    <n v="1.76715E-2"/>
    <n v="0.11781"/>
    <n v="0.18157319100000002"/>
    <n v="1.2104879400000002"/>
    <n v="2.8571428571428572"/>
  </r>
  <r>
    <x v="4"/>
    <n v="10"/>
    <x v="1"/>
    <x v="1"/>
    <x v="1"/>
    <n v="17"/>
    <n v="10"/>
    <n v="2.2698060000000003E-2"/>
    <n v="0.15132040000000002"/>
    <n v="0.24271937599999999"/>
    <n v="1.6181291733333334"/>
    <n v="2.8571428571428572"/>
  </r>
  <r>
    <x v="4"/>
    <n v="11"/>
    <x v="1"/>
    <x v="1"/>
    <x v="1"/>
    <n v="16"/>
    <n v="9"/>
    <n v="2.0106240000000001E-2"/>
    <n v="0.13404160000000001"/>
    <n v="0.21547096199999999"/>
    <n v="1.4364730800000001"/>
    <n v="2.8571428571428572"/>
  </r>
  <r>
    <x v="4"/>
    <n v="12"/>
    <x v="1"/>
    <x v="1"/>
    <x v="1"/>
    <n v="12"/>
    <n v="5"/>
    <n v="1.130976E-2"/>
    <n v="7.5398400000000004E-2"/>
    <n v="0.14181654599999999"/>
    <n v="0.94544363999999992"/>
    <n v="2.8571428571428572"/>
  </r>
  <r>
    <x v="4"/>
    <n v="13"/>
    <x v="1"/>
    <x v="1"/>
    <x v="1"/>
    <n v="10"/>
    <n v="5"/>
    <n v="7.8540000000000016E-3"/>
    <n v="5.2360000000000011E-2"/>
    <n v="0.13158676599999999"/>
    <n v="0.87724510666666666"/>
    <n v="2.8571428571428572"/>
  </r>
  <r>
    <x v="4"/>
    <n v="14"/>
    <x v="1"/>
    <x v="1"/>
    <x v="1"/>
    <n v="18"/>
    <n v="10"/>
    <n v="2.5446959999999998E-2"/>
    <n v="0.1696464"/>
    <n v="0.25899402599999999"/>
    <n v="1.72662684"/>
    <n v="2.8571428571428572"/>
  </r>
  <r>
    <x v="4"/>
    <n v="15"/>
    <x v="1"/>
    <x v="1"/>
    <x v="0"/>
    <n v="20"/>
    <n v="10"/>
    <n v="3.1416000000000006E-2"/>
    <n v="0.20944000000000004"/>
    <n v="0.29433326600000004"/>
    <n v="1.9622217733333336"/>
    <n v="2.8571428571428572"/>
  </r>
  <r>
    <x v="4"/>
    <n v="16"/>
    <x v="1"/>
    <x v="1"/>
    <x v="0"/>
    <n v="20"/>
    <n v="10"/>
    <n v="3.1416000000000006E-2"/>
    <n v="0.20944000000000004"/>
    <n v="0.29433326600000004"/>
    <n v="1.9622217733333336"/>
    <n v="2.8571428571428572"/>
  </r>
  <r>
    <x v="4"/>
    <n v="17"/>
    <x v="1"/>
    <x v="1"/>
    <x v="1"/>
    <n v="18"/>
    <n v="8"/>
    <n v="2.5446959999999998E-2"/>
    <n v="0.1696464"/>
    <n v="0.22886267400000002"/>
    <n v="1.5257511600000002"/>
    <n v="2.8571428571428572"/>
  </r>
  <r>
    <x v="4"/>
    <n v="18"/>
    <x v="1"/>
    <x v="1"/>
    <x v="1"/>
    <n v="17"/>
    <n v="8"/>
    <n v="2.2698060000000003E-2"/>
    <n v="0.15132040000000002"/>
    <n v="0.215842954"/>
    <n v="1.4389530266666668"/>
    <n v="2.8571428571428572"/>
  </r>
  <r>
    <x v="4"/>
    <n v="19"/>
    <x v="1"/>
    <x v="1"/>
    <x v="1"/>
    <n v="13"/>
    <n v="5"/>
    <n v="1.3273260000000002E-2"/>
    <n v="8.8488400000000023E-2"/>
    <n v="0.147628921"/>
    <n v="0.98419280666666664"/>
    <n v="2.8571428571428572"/>
  </r>
  <r>
    <x v="4"/>
    <n v="20"/>
    <x v="1"/>
    <x v="1"/>
    <x v="1"/>
    <n v="15"/>
    <n v="6"/>
    <n v="1.76715E-2"/>
    <n v="0.11781"/>
    <n v="0.171110916"/>
    <n v="1.1407394400000002"/>
    <n v="2.8571428571428572"/>
  </r>
  <r>
    <x v="4"/>
    <n v="21"/>
    <x v="1"/>
    <x v="1"/>
    <x v="1"/>
    <n v="17"/>
    <n v="9"/>
    <n v="2.2698060000000003E-2"/>
    <n v="0.15132040000000002"/>
    <n v="0.22928116500000001"/>
    <n v="1.5285411000000002"/>
    <n v="2.8571428571428572"/>
  </r>
  <r>
    <x v="4"/>
    <n v="22"/>
    <x v="1"/>
    <x v="1"/>
    <x v="1"/>
    <n v="18"/>
    <n v="9"/>
    <n v="2.5446959999999998E-2"/>
    <n v="0.1696464"/>
    <n v="0.24392835000000002"/>
    <n v="1.6261890000000001"/>
    <n v="2.8571428571428572"/>
  </r>
  <r>
    <x v="4"/>
    <n v="23"/>
    <x v="1"/>
    <x v="1"/>
    <x v="1"/>
    <n v="14"/>
    <n v="6"/>
    <n v="1.5393840000000002E-2"/>
    <n v="0.10262560000000003"/>
    <n v="0.16302009000000001"/>
    <n v="1.0868006000000001"/>
    <n v="2.8571428571428572"/>
  </r>
  <r>
    <x v="4"/>
    <n v="24"/>
    <x v="1"/>
    <x v="1"/>
    <x v="1"/>
    <n v="14"/>
    <n v="8"/>
    <n v="1.5393840000000002E-2"/>
    <n v="0.10262560000000003"/>
    <n v="0.18124769800000001"/>
    <n v="1.2083179866666669"/>
    <n v="2.8571428571428572"/>
  </r>
  <r>
    <x v="4"/>
    <n v="25"/>
    <x v="1"/>
    <x v="1"/>
    <x v="1"/>
    <n v="13"/>
    <n v="6"/>
    <n v="1.3273260000000002E-2"/>
    <n v="8.8488400000000023E-2"/>
    <n v="0.15548725200000002"/>
    <n v="1.0365816800000003"/>
    <n v="2.8571428571428572"/>
  </r>
  <r>
    <x v="4"/>
    <n v="26"/>
    <x v="1"/>
    <x v="1"/>
    <x v="1"/>
    <n v="14"/>
    <n v="6"/>
    <n v="1.5393840000000002E-2"/>
    <n v="0.10262560000000003"/>
    <n v="0.16302009000000001"/>
    <n v="1.0868006000000001"/>
    <n v="2.8571428571428572"/>
  </r>
  <r>
    <x v="5"/>
    <n v="1"/>
    <x v="4"/>
    <x v="4"/>
    <x v="1"/>
    <n v="17"/>
    <n v="9"/>
    <n v="2.2698060000000003E-2"/>
    <n v="0.15132040000000002"/>
    <n v="8.8668945600000007E-2"/>
    <n v="0.5911263040000001"/>
    <n v="2.8571428571428572"/>
  </r>
  <r>
    <x v="5"/>
    <n v="2"/>
    <x v="4"/>
    <x v="4"/>
    <x v="1"/>
    <n v="14"/>
    <n v="7"/>
    <n v="1.5393840000000002E-2"/>
    <n v="0.10262560000000003"/>
    <n v="5.3134376999999997E-2"/>
    <n v="0.35422917999999998"/>
    <n v="2.8571428571428572"/>
  </r>
  <r>
    <x v="5"/>
    <n v="3"/>
    <x v="4"/>
    <x v="4"/>
    <x v="1"/>
    <n v="18"/>
    <n v="9"/>
    <n v="2.5446959999999998E-2"/>
    <n v="0.1696464"/>
    <n v="9.7776666600000006E-2"/>
    <n v="0.65184444400000008"/>
    <n v="2.8571428571428572"/>
  </r>
  <r>
    <x v="5"/>
    <n v="4"/>
    <x v="4"/>
    <x v="4"/>
    <x v="1"/>
    <n v="10"/>
    <n v="6"/>
    <n v="7.8540000000000016E-3"/>
    <n v="5.2360000000000011E-2"/>
    <n v="3.0813232199999999E-2"/>
    <n v="0.20542154800000001"/>
    <n v="2.8571428571428572"/>
  </r>
  <r>
    <x v="5"/>
    <n v="5"/>
    <x v="4"/>
    <x v="4"/>
    <x v="1"/>
    <n v="12"/>
    <n v="7"/>
    <n v="1.130976E-2"/>
    <n v="7.5398400000000004E-2"/>
    <n v="4.2609899399999998E-2"/>
    <n v="0.28406599599999999"/>
    <n v="2.8571428571428572"/>
  </r>
  <r>
    <x v="5"/>
    <n v="6"/>
    <x v="4"/>
    <x v="4"/>
    <x v="1"/>
    <n v="15"/>
    <n v="7"/>
    <n v="1.76715E-2"/>
    <n v="0.11781"/>
    <n v="5.9003797199999999E-2"/>
    <n v="0.39335864800000003"/>
    <n v="2.8571428571428572"/>
  </r>
  <r>
    <x v="5"/>
    <n v="7"/>
    <x v="4"/>
    <x v="4"/>
    <x v="1"/>
    <n v="17"/>
    <n v="8"/>
    <n v="2.2698060000000003E-2"/>
    <n v="0.15132040000000002"/>
    <n v="8.031297300000001E-2"/>
    <n v="0.5354198200000001"/>
    <n v="2.8571428571428572"/>
  </r>
  <r>
    <x v="5"/>
    <n v="8"/>
    <x v="4"/>
    <x v="4"/>
    <x v="1"/>
    <n v="16"/>
    <n v="7"/>
    <n v="2.0106240000000001E-2"/>
    <n v="0.13404160000000001"/>
    <n v="6.5278005E-2"/>
    <n v="0.43518670000000004"/>
    <n v="2.8571428571428572"/>
  </r>
  <r>
    <x v="5"/>
    <n v="9"/>
    <x v="4"/>
    <x v="4"/>
    <x v="1"/>
    <n v="17"/>
    <n v="7"/>
    <n v="2.2698060000000003E-2"/>
    <n v="0.15132040000000002"/>
    <n v="7.1957000399999999E-2"/>
    <n v="0.47971333599999999"/>
    <n v="2.8571428571428572"/>
  </r>
  <r>
    <x v="5"/>
    <n v="10"/>
    <x v="4"/>
    <x v="4"/>
    <x v="1"/>
    <n v="18"/>
    <n v="7"/>
    <n v="2.5446959999999998E-2"/>
    <n v="0.1696464"/>
    <n v="7.9040783400000009E-2"/>
    <n v="0.52693855600000006"/>
    <n v="2.8571428571428572"/>
  </r>
  <r>
    <x v="5"/>
    <n v="11"/>
    <x v="4"/>
    <x v="4"/>
    <x v="1"/>
    <n v="13"/>
    <n v="6"/>
    <n v="1.3273260000000002E-2"/>
    <n v="8.8488400000000023E-2"/>
    <n v="4.27833798E-2"/>
    <n v="0.28522253200000003"/>
    <n v="2.8571428571428572"/>
  </r>
  <r>
    <x v="5"/>
    <n v="12"/>
    <x v="4"/>
    <x v="4"/>
    <x v="1"/>
    <n v="10"/>
    <n v="5"/>
    <n v="7.8540000000000016E-3"/>
    <n v="5.2360000000000011E-2"/>
    <n v="2.7921892199999999E-2"/>
    <n v="0.18614594800000001"/>
    <n v="2.8571428571428572"/>
  </r>
  <r>
    <x v="5"/>
    <n v="13"/>
    <x v="4"/>
    <x v="4"/>
    <x v="1"/>
    <n v="15"/>
    <n v="7"/>
    <n v="1.76715E-2"/>
    <n v="0.11781"/>
    <n v="5.9003797199999999E-2"/>
    <n v="0.39335864800000003"/>
    <n v="2.8571428571428572"/>
  </r>
  <r>
    <x v="5"/>
    <n v="14"/>
    <x v="0"/>
    <x v="0"/>
    <x v="1"/>
    <n v="18"/>
    <n v="8"/>
    <n v="2.5446959999999998E-2"/>
    <n v="0.1696464"/>
    <n v="7.92258552E-2"/>
    <n v="0.528172368"/>
    <n v="2.8571428571428572"/>
  </r>
  <r>
    <x v="5"/>
    <n v="15"/>
    <x v="0"/>
    <x v="0"/>
    <x v="0"/>
    <n v="20"/>
    <n v="9"/>
    <n v="3.1416000000000006E-2"/>
    <n v="0.20944000000000004"/>
    <n v="0.1080598968"/>
    <n v="0.72039931200000007"/>
    <n v="2.8571428571428572"/>
  </r>
  <r>
    <x v="5"/>
    <n v="16"/>
    <x v="0"/>
    <x v="0"/>
    <x v="0"/>
    <n v="20"/>
    <n v="9"/>
    <n v="3.1416000000000006E-2"/>
    <n v="0.20944000000000004"/>
    <n v="0.1080598968"/>
    <n v="0.72039931200000007"/>
    <n v="2.8571428571428572"/>
  </r>
  <r>
    <x v="5"/>
    <n v="17"/>
    <x v="0"/>
    <x v="0"/>
    <x v="1"/>
    <n v="19"/>
    <n v="8"/>
    <n v="2.835294E-2"/>
    <n v="0.18901960000000001"/>
    <n v="8.7692994400000002E-2"/>
    <n v="0.58461996266666671"/>
    <n v="2.8571428571428572"/>
  </r>
  <r>
    <x v="5"/>
    <n v="18"/>
    <x v="1"/>
    <x v="1"/>
    <x v="1"/>
    <n v="17"/>
    <n v="7"/>
    <n v="2.2698060000000003E-2"/>
    <n v="0.15132040000000002"/>
    <n v="0.202404743"/>
    <n v="1.3493649533333334"/>
    <n v="2.8571428571428572"/>
  </r>
  <r>
    <x v="5"/>
    <n v="19"/>
    <x v="1"/>
    <x v="1"/>
    <x v="1"/>
    <n v="14"/>
    <n v="6"/>
    <n v="1.5393840000000002E-2"/>
    <n v="0.10262560000000003"/>
    <n v="0.16302009000000001"/>
    <n v="1.0868006000000001"/>
    <n v="2.8571428571428572"/>
  </r>
  <r>
    <x v="5"/>
    <n v="20"/>
    <x v="1"/>
    <x v="1"/>
    <x v="1"/>
    <n v="13"/>
    <n v="6"/>
    <n v="1.3273260000000002E-2"/>
    <n v="8.8488400000000023E-2"/>
    <n v="0.15548725200000002"/>
    <n v="1.0365816800000003"/>
    <n v="2.8571428571428572"/>
  </r>
  <r>
    <x v="5"/>
    <n v="21"/>
    <x v="1"/>
    <x v="1"/>
    <x v="1"/>
    <n v="10"/>
    <n v="5"/>
    <n v="7.8540000000000016E-3"/>
    <n v="5.2360000000000011E-2"/>
    <n v="0.13158676599999999"/>
    <n v="0.87724510666666666"/>
    <n v="2.8571428571428572"/>
  </r>
  <r>
    <x v="5"/>
    <n v="22"/>
    <x v="4"/>
    <x v="4"/>
    <x v="1"/>
    <n v="12"/>
    <n v="6"/>
    <n v="1.130976E-2"/>
    <n v="7.5398400000000004E-2"/>
    <n v="3.8446369800000005E-2"/>
    <n v="0.25630913200000005"/>
    <n v="2.8571428571428572"/>
  </r>
  <r>
    <x v="5"/>
    <n v="23"/>
    <x v="4"/>
    <x v="4"/>
    <x v="1"/>
    <n v="17"/>
    <n v="7"/>
    <n v="2.2698060000000003E-2"/>
    <n v="0.15132040000000002"/>
    <n v="7.1957000399999999E-2"/>
    <n v="0.47971333599999999"/>
    <n v="2.8571428571428572"/>
  </r>
  <r>
    <x v="5"/>
    <n v="24"/>
    <x v="4"/>
    <x v="4"/>
    <x v="1"/>
    <n v="16"/>
    <n v="6"/>
    <n v="2.0106240000000001E-2"/>
    <n v="0.13404160000000001"/>
    <n v="5.7876174599999997E-2"/>
    <n v="0.38584116400000001"/>
    <n v="2.8571428571428572"/>
  </r>
  <r>
    <x v="5"/>
    <n v="25"/>
    <x v="0"/>
    <x v="0"/>
    <x v="1"/>
    <n v="18"/>
    <n v="8"/>
    <n v="2.5446959999999998E-2"/>
    <n v="0.1696464"/>
    <n v="7.92258552E-2"/>
    <n v="0.528172368"/>
    <n v="2.8571428571428572"/>
  </r>
  <r>
    <x v="5"/>
    <n v="26"/>
    <x v="4"/>
    <x v="4"/>
    <x v="1"/>
    <n v="14"/>
    <n v="6"/>
    <n v="1.5393840000000002E-2"/>
    <n v="0.10262560000000003"/>
    <n v="4.74673506E-2"/>
    <n v="0.31644900400000003"/>
    <n v="2.8571428571428572"/>
  </r>
  <r>
    <x v="5"/>
    <n v="27"/>
    <x v="4"/>
    <x v="4"/>
    <x v="1"/>
    <n v="18"/>
    <n v="8"/>
    <n v="2.5446959999999998E-2"/>
    <n v="0.1696464"/>
    <n v="8.8408725000000007E-2"/>
    <n v="0.58939150000000007"/>
    <n v="2.8571428571428572"/>
  </r>
  <r>
    <x v="5"/>
    <n v="28"/>
    <x v="4"/>
    <x v="4"/>
    <x v="1"/>
    <n v="19"/>
    <n v="8"/>
    <n v="2.835294E-2"/>
    <n v="0.18901960000000001"/>
    <n v="9.6967091399999997E-2"/>
    <n v="0.64644727599999996"/>
    <n v="2.8571428571428572"/>
  </r>
  <r>
    <x v="5"/>
    <n v="29"/>
    <x v="4"/>
    <x v="4"/>
    <x v="1"/>
    <n v="15"/>
    <n v="6"/>
    <n v="1.76715E-2"/>
    <n v="0.11781"/>
    <n v="5.2498282199999996E-2"/>
    <n v="0.34998854800000001"/>
    <n v="2.8571428571428572"/>
  </r>
  <r>
    <x v="5"/>
    <n v="30"/>
    <x v="1"/>
    <x v="1"/>
    <x v="1"/>
    <n v="16"/>
    <n v="7"/>
    <n v="2.0106240000000001E-2"/>
    <n v="0.13404160000000001"/>
    <n v="0.191663474"/>
    <n v="1.2777564933333334"/>
    <n v="2.8571428571428572"/>
  </r>
  <r>
    <x v="5"/>
    <n v="31"/>
    <x v="1"/>
    <x v="1"/>
    <x v="1"/>
    <n v="14"/>
    <n v="5"/>
    <n v="1.5393840000000002E-2"/>
    <n v="0.10262560000000003"/>
    <n v="0.153906286"/>
    <n v="1.0260419066666668"/>
    <n v="2.8571428571428572"/>
  </r>
  <r>
    <x v="5"/>
    <n v="32"/>
    <x v="1"/>
    <x v="1"/>
    <x v="1"/>
    <n v="12"/>
    <n v="5"/>
    <n v="1.130976E-2"/>
    <n v="7.5398400000000004E-2"/>
    <n v="0.14181654599999999"/>
    <n v="0.94544363999999992"/>
    <n v="2.8571428571428572"/>
  </r>
  <r>
    <x v="5"/>
    <n v="33"/>
    <x v="5"/>
    <x v="5"/>
    <x v="1"/>
    <n v="14"/>
    <n v="5"/>
    <n v="1.5393840000000002E-2"/>
    <n v="0.10262560000000003"/>
    <n v="0.153906286"/>
    <n v="1.0260419066666668"/>
    <n v="2.8571428571428572"/>
  </r>
  <r>
    <x v="5"/>
    <n v="34"/>
    <x v="1"/>
    <x v="1"/>
    <x v="1"/>
    <n v="12"/>
    <n v="5"/>
    <n v="1.130976E-2"/>
    <n v="7.5398400000000004E-2"/>
    <n v="0.14181654599999999"/>
    <n v="0.94544363999999992"/>
    <n v="2.8571428571428572"/>
  </r>
  <r>
    <x v="5"/>
    <n v="35"/>
    <x v="4"/>
    <x v="4"/>
    <x v="1"/>
    <n v="16"/>
    <n v="6"/>
    <n v="2.0106240000000001E-2"/>
    <n v="0.13404160000000001"/>
    <n v="5.7876174599999997E-2"/>
    <n v="0.38584116400000001"/>
    <n v="2.8571428571428572"/>
  </r>
  <r>
    <x v="5"/>
    <n v="36"/>
    <x v="4"/>
    <x v="4"/>
    <x v="1"/>
    <n v="17"/>
    <n v="7"/>
    <n v="2.2698060000000003E-2"/>
    <n v="0.15132040000000002"/>
    <n v="7.1957000399999999E-2"/>
    <n v="0.47971333599999999"/>
    <n v="2.8571428571428572"/>
  </r>
  <r>
    <x v="5"/>
    <n v="37"/>
    <x v="0"/>
    <x v="0"/>
    <x v="1"/>
    <n v="18"/>
    <n v="9"/>
    <n v="2.5446959999999998E-2"/>
    <n v="0.1696464"/>
    <n v="8.8493939999999993E-2"/>
    <n v="0.58995960000000003"/>
    <n v="2.8571428571428572"/>
  </r>
  <r>
    <x v="6"/>
    <n v="1"/>
    <x v="5"/>
    <x v="5"/>
    <x v="1"/>
    <n v="17"/>
    <n v="5"/>
    <n v="2.2698060000000003E-2"/>
    <n v="0.15132040000000002"/>
    <n v="0.17552832099999999"/>
    <n v="1.1701888066666666"/>
    <n v="2.8571428571428572"/>
  </r>
  <r>
    <x v="6"/>
    <n v="2"/>
    <x v="4"/>
    <x v="4"/>
    <x v="1"/>
    <n v="16"/>
    <n v="7"/>
    <n v="2.0106240000000001E-2"/>
    <n v="0.13404160000000001"/>
    <n v="6.5278005E-2"/>
    <n v="0.43518670000000004"/>
    <n v="2.8571428571428572"/>
  </r>
  <r>
    <x v="6"/>
    <n v="3"/>
    <x v="4"/>
    <x v="4"/>
    <x v="1"/>
    <n v="15"/>
    <n v="6"/>
    <n v="1.76715E-2"/>
    <n v="0.11781"/>
    <n v="5.2498282199999996E-2"/>
    <n v="0.34998854800000001"/>
    <n v="2.8571428571428572"/>
  </r>
  <r>
    <x v="6"/>
    <n v="4"/>
    <x v="4"/>
    <x v="4"/>
    <x v="1"/>
    <n v="18"/>
    <n v="7"/>
    <n v="2.5446959999999998E-2"/>
    <n v="0.1696464"/>
    <n v="7.9040783400000009E-2"/>
    <n v="0.52693855600000006"/>
    <n v="2.8571428571428572"/>
  </r>
  <r>
    <x v="6"/>
    <n v="5"/>
    <x v="5"/>
    <x v="5"/>
    <x v="1"/>
    <n v="16"/>
    <n v="5"/>
    <n v="2.0106240000000001E-2"/>
    <n v="0.13404160000000001"/>
    <n v="0.16785598600000001"/>
    <n v="1.1190399066666668"/>
    <n v="2.8571428571428572"/>
  </r>
  <r>
    <x v="6"/>
    <n v="6"/>
    <x v="4"/>
    <x v="4"/>
    <x v="1"/>
    <n v="18"/>
    <n v="8"/>
    <n v="2.5446959999999998E-2"/>
    <n v="0.1696464"/>
    <n v="8.8408725000000007E-2"/>
    <n v="0.58939150000000007"/>
    <n v="2.8571428571428572"/>
  </r>
  <r>
    <x v="6"/>
    <n v="7"/>
    <x v="2"/>
    <x v="2"/>
    <x v="1"/>
    <n v="15"/>
    <n v="5"/>
    <n v="1.76715E-2"/>
    <n v="0.11781"/>
    <n v="0.16064864100000001"/>
    <n v="1.0709909400000002"/>
    <n v="2.8571428571428572"/>
  </r>
  <r>
    <x v="6"/>
    <n v="8"/>
    <x v="4"/>
    <x v="4"/>
    <x v="1"/>
    <n v="18"/>
    <n v="7"/>
    <n v="2.5446959999999998E-2"/>
    <n v="0.1696464"/>
    <n v="7.9040783400000009E-2"/>
    <n v="0.52693855600000006"/>
    <n v="2.8571428571428572"/>
  </r>
  <r>
    <x v="6"/>
    <n v="9"/>
    <x v="4"/>
    <x v="4"/>
    <x v="1"/>
    <n v="14"/>
    <n v="6"/>
    <n v="1.5393840000000002E-2"/>
    <n v="0.10262560000000003"/>
    <n v="4.74673506E-2"/>
    <n v="0.31644900400000003"/>
    <n v="2.8571428571428572"/>
  </r>
  <r>
    <x v="6"/>
    <n v="10"/>
    <x v="4"/>
    <x v="4"/>
    <x v="1"/>
    <n v="18"/>
    <n v="8"/>
    <n v="2.5446959999999998E-2"/>
    <n v="0.1696464"/>
    <n v="8.8408725000000007E-2"/>
    <n v="0.58939150000000007"/>
    <n v="2.8571428571428572"/>
  </r>
  <r>
    <x v="6"/>
    <n v="11"/>
    <x v="4"/>
    <x v="4"/>
    <x v="1"/>
    <n v="16"/>
    <n v="7"/>
    <n v="2.0106240000000001E-2"/>
    <n v="0.13404160000000001"/>
    <n v="6.5278005E-2"/>
    <n v="0.43518670000000004"/>
    <n v="2.8571428571428572"/>
  </r>
  <r>
    <x v="6"/>
    <n v="12"/>
    <x v="4"/>
    <x v="4"/>
    <x v="0"/>
    <n v="22"/>
    <n v="10"/>
    <n v="3.8013359999999996E-2"/>
    <n v="0.25342239999999999"/>
    <n v="0.15340604820000001"/>
    <n v="1.0227069880000002"/>
    <n v="2.8571428571428572"/>
  </r>
  <r>
    <x v="6"/>
    <n v="13"/>
    <x v="4"/>
    <x v="4"/>
    <x v="1"/>
    <n v="16"/>
    <n v="6"/>
    <n v="2.0106240000000001E-2"/>
    <n v="0.13404160000000001"/>
    <n v="5.7876174599999997E-2"/>
    <n v="0.38584116400000001"/>
    <n v="2.8571428571428572"/>
  </r>
  <r>
    <x v="6"/>
    <n v="14"/>
    <x v="4"/>
    <x v="4"/>
    <x v="1"/>
    <n v="18"/>
    <n v="7"/>
    <n v="2.5446959999999998E-2"/>
    <n v="0.1696464"/>
    <n v="7.9040783400000009E-2"/>
    <n v="0.52693855600000006"/>
    <n v="2.8571428571428572"/>
  </r>
  <r>
    <x v="6"/>
    <n v="15"/>
    <x v="2"/>
    <x v="2"/>
    <x v="1"/>
    <n v="17"/>
    <n v="6"/>
    <n v="2.2698060000000003E-2"/>
    <n v="0.15132040000000002"/>
    <n v="0.18896653200000002"/>
    <n v="1.2597768800000002"/>
    <n v="2.8571428571428572"/>
  </r>
  <r>
    <x v="6"/>
    <n v="16"/>
    <x v="2"/>
    <x v="2"/>
    <x v="1"/>
    <n v="12"/>
    <n v="5"/>
    <n v="1.130976E-2"/>
    <n v="7.5398400000000004E-2"/>
    <n v="0.14181654599999999"/>
    <n v="0.94544363999999992"/>
    <n v="2.8571428571428572"/>
  </r>
  <r>
    <x v="6"/>
    <n v="17"/>
    <x v="5"/>
    <x v="5"/>
    <x v="1"/>
    <n v="14"/>
    <n v="5"/>
    <n v="1.5393840000000002E-2"/>
    <n v="0.10262560000000003"/>
    <n v="0.153906286"/>
    <n v="1.0260419066666668"/>
    <n v="2.8571428571428572"/>
  </r>
  <r>
    <x v="6"/>
    <n v="18"/>
    <x v="5"/>
    <x v="5"/>
    <x v="1"/>
    <n v="13"/>
    <n v="5"/>
    <n v="1.3273260000000002E-2"/>
    <n v="8.8488400000000023E-2"/>
    <n v="0.147628921"/>
    <n v="0.98419280666666664"/>
    <n v="2.8571428571428572"/>
  </r>
  <r>
    <x v="6"/>
    <n v="19"/>
    <x v="2"/>
    <x v="2"/>
    <x v="1"/>
    <n v="15"/>
    <n v="7"/>
    <n v="1.76715E-2"/>
    <n v="0.11781"/>
    <n v="0.18157319100000002"/>
    <n v="1.2104879400000002"/>
    <n v="2.8571428571428572"/>
  </r>
  <r>
    <x v="6"/>
    <n v="20"/>
    <x v="2"/>
    <x v="2"/>
    <x v="1"/>
    <n v="14"/>
    <n v="7"/>
    <n v="1.5393840000000002E-2"/>
    <n v="0.10262560000000003"/>
    <n v="0.17213389400000001"/>
    <n v="1.1475592933333334"/>
    <n v="2.8571428571428572"/>
  </r>
  <r>
    <x v="6"/>
    <n v="21"/>
    <x v="2"/>
    <x v="2"/>
    <x v="1"/>
    <n v="10"/>
    <n v="5"/>
    <n v="7.8540000000000016E-3"/>
    <n v="5.2360000000000011E-2"/>
    <n v="0.13158676599999999"/>
    <n v="0.87724510666666666"/>
    <n v="2.8571428571428572"/>
  </r>
  <r>
    <x v="6"/>
    <n v="22"/>
    <x v="2"/>
    <x v="2"/>
    <x v="1"/>
    <n v="10"/>
    <n v="5"/>
    <n v="7.8540000000000016E-3"/>
    <n v="5.2360000000000011E-2"/>
    <n v="0.13158676599999999"/>
    <n v="0.87724510666666666"/>
    <n v="2.8571428571428572"/>
  </r>
  <r>
    <x v="6"/>
    <n v="23"/>
    <x v="2"/>
    <x v="2"/>
    <x v="1"/>
    <n v="13"/>
    <n v="6"/>
    <n v="1.3273260000000002E-2"/>
    <n v="8.8488400000000023E-2"/>
    <n v="0.15548725200000002"/>
    <n v="1.0365816800000003"/>
    <n v="2.8571428571428572"/>
  </r>
  <r>
    <x v="6"/>
    <n v="24"/>
    <x v="5"/>
    <x v="5"/>
    <x v="1"/>
    <n v="16"/>
    <n v="6"/>
    <n v="2.0106240000000001E-2"/>
    <n v="0.13404160000000001"/>
    <n v="0.17975973000000001"/>
    <n v="1.1983982000000002"/>
    <n v="2.8571428571428572"/>
  </r>
  <r>
    <x v="6"/>
    <n v="25"/>
    <x v="0"/>
    <x v="0"/>
    <x v="1"/>
    <n v="18"/>
    <n v="8"/>
    <n v="2.5446959999999998E-2"/>
    <n v="0.1696464"/>
    <n v="7.92258552E-2"/>
    <n v="0.528172368"/>
    <n v="2.8571428571428572"/>
  </r>
  <r>
    <x v="6"/>
    <n v="26"/>
    <x v="0"/>
    <x v="0"/>
    <x v="0"/>
    <n v="20"/>
    <n v="9"/>
    <n v="3.1416000000000006E-2"/>
    <n v="0.20944000000000004"/>
    <n v="0.1080598968"/>
    <n v="0.72039931200000007"/>
    <n v="2.8571428571428572"/>
  </r>
  <r>
    <x v="6"/>
    <n v="27"/>
    <x v="0"/>
    <x v="0"/>
    <x v="0"/>
    <n v="23"/>
    <n v="10"/>
    <n v="4.154766E-2"/>
    <n v="0.27698440000000002"/>
    <n v="0.1564026848"/>
    <n v="1.0426845653333334"/>
    <n v="2.8571428571428572"/>
  </r>
  <r>
    <x v="6"/>
    <n v="28"/>
    <x v="0"/>
    <x v="0"/>
    <x v="1"/>
    <n v="12"/>
    <n v="5"/>
    <n v="1.130976E-2"/>
    <n v="7.5398400000000004E-2"/>
    <n v="2.5676920799999999E-2"/>
    <n v="0.171179472"/>
    <n v="2.8571428571428572"/>
  </r>
  <r>
    <x v="6"/>
    <n v="29"/>
    <x v="4"/>
    <x v="4"/>
    <x v="0"/>
    <n v="23"/>
    <n v="10"/>
    <n v="4.154766E-2"/>
    <n v="0.27698440000000002"/>
    <n v="0.16641707820000001"/>
    <n v="1.1094471880000001"/>
    <n v="2.8571428571428572"/>
  </r>
  <r>
    <x v="6"/>
    <n v="30"/>
    <x v="4"/>
    <x v="4"/>
    <x v="1"/>
    <n v="17"/>
    <n v="10"/>
    <n v="2.2698060000000003E-2"/>
    <n v="0.15132040000000002"/>
    <n v="9.7024918200000004E-2"/>
    <n v="0.6468327880000001"/>
    <n v="2.8571428571428572"/>
  </r>
  <r>
    <x v="6"/>
    <n v="31"/>
    <x v="4"/>
    <x v="4"/>
    <x v="1"/>
    <n v="15"/>
    <n v="9"/>
    <n v="1.76715E-2"/>
    <n v="0.11781"/>
    <n v="7.2014827200000006E-2"/>
    <n v="0.48009884800000008"/>
    <n v="2.8571428571428572"/>
  </r>
  <r>
    <x v="6"/>
    <n v="32"/>
    <x v="4"/>
    <x v="4"/>
    <x v="1"/>
    <n v="16"/>
    <n v="7"/>
    <n v="2.0106240000000001E-2"/>
    <n v="0.13404160000000001"/>
    <n v="6.5278005E-2"/>
    <n v="0.43518670000000004"/>
    <n v="2.8571428571428572"/>
  </r>
  <r>
    <x v="6"/>
    <n v="33"/>
    <x v="2"/>
    <x v="2"/>
    <x v="1"/>
    <n v="18"/>
    <n v="8"/>
    <n v="2.5446959999999998E-2"/>
    <n v="0.1696464"/>
    <n v="0.22886267400000002"/>
    <n v="1.5257511600000002"/>
    <n v="2.8571428571428572"/>
  </r>
  <r>
    <x v="6"/>
    <n v="34"/>
    <x v="2"/>
    <x v="2"/>
    <x v="1"/>
    <n v="14"/>
    <n v="6"/>
    <n v="1.5393840000000002E-2"/>
    <n v="0.10262560000000003"/>
    <n v="0.16302009000000001"/>
    <n v="1.0868006000000001"/>
    <n v="2.8571428571428572"/>
  </r>
  <r>
    <x v="6"/>
    <n v="35"/>
    <x v="2"/>
    <x v="2"/>
    <x v="1"/>
    <n v="13"/>
    <n v="5"/>
    <n v="1.3273260000000002E-2"/>
    <n v="8.8488400000000023E-2"/>
    <n v="0.147628921"/>
    <n v="0.98419280666666664"/>
    <n v="2.8571428571428572"/>
  </r>
  <r>
    <x v="6"/>
    <n v="36"/>
    <x v="0"/>
    <x v="0"/>
    <x v="0"/>
    <n v="22"/>
    <n v="10"/>
    <n v="3.8013359999999996E-2"/>
    <n v="0.25342239999999999"/>
    <n v="0.14353034479999999"/>
    <n v="0.95686896533333332"/>
    <n v="2.8571428571428572"/>
  </r>
  <r>
    <x v="6"/>
    <n v="37"/>
    <x v="0"/>
    <x v="0"/>
    <x v="1"/>
    <n v="19"/>
    <n v="10"/>
    <n v="2.835294E-2"/>
    <n v="0.18901960000000001"/>
    <n v="0.10834594879999999"/>
    <n v="0.72230632533333328"/>
    <n v="2.85714285714285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12"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4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11" firstHeaderRow="1" firstDataRow="2" firstDataCol="1"/>
  <pivotFields count="12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4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2" firstHeaderRow="1" firstDataRow="2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4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22" firstHeaderRow="1" firstDataRow="2" firstDataCol="1"/>
  <pivotFields count="12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>
      <x v="5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6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">
      <pivotArea field="3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zoomScale="78" zoomScaleNormal="78" workbookViewId="0">
      <selection activeCell="M7" sqref="M7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30.85546875" bestFit="1" customWidth="1"/>
  </cols>
  <sheetData>
    <row r="1" spans="1:15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5" x14ac:dyDescent="0.25">
      <c r="A2">
        <v>1</v>
      </c>
      <c r="B2">
        <v>1</v>
      </c>
      <c r="C2" s="1" t="s">
        <v>52</v>
      </c>
      <c r="D2" s="1" t="s">
        <v>57</v>
      </c>
      <c r="E2" s="1" t="s">
        <v>54</v>
      </c>
      <c r="F2">
        <v>20</v>
      </c>
      <c r="G2">
        <v>12</v>
      </c>
      <c r="H2" s="3">
        <f t="shared" ref="H2" si="0">0.7854*(F2/100)^2</f>
        <v>3.1416000000000006E-2</v>
      </c>
      <c r="I2" s="4">
        <f>H2*1/0.2</f>
        <v>0.15708000000000003</v>
      </c>
      <c r="J2" s="3">
        <f>(0.0050811768+0.0000286052*(F2^2*G2))</f>
        <v>0.14238613680000001</v>
      </c>
      <c r="K2" s="4">
        <f>J2/0.15</f>
        <v>0.94924091200000005</v>
      </c>
      <c r="L2" s="4">
        <f>1*1/0.35</f>
        <v>2.8571428571428572</v>
      </c>
    </row>
    <row r="3" spans="1:15" x14ac:dyDescent="0.25">
      <c r="A3">
        <v>1</v>
      </c>
      <c r="B3">
        <v>2</v>
      </c>
      <c r="C3" s="1" t="s">
        <v>55</v>
      </c>
      <c r="D3" s="1" t="s">
        <v>58</v>
      </c>
      <c r="E3" s="1" t="s">
        <v>53</v>
      </c>
      <c r="F3" s="1">
        <v>14</v>
      </c>
      <c r="G3">
        <v>6</v>
      </c>
      <c r="H3" s="3">
        <f t="shared" ref="H3:H194" si="1">0.7854*(F3/100)^2</f>
        <v>1.5393840000000002E-2</v>
      </c>
      <c r="I3" s="4">
        <f t="shared" ref="I3:I24" si="2">H3*1/0.2</f>
        <v>7.6969200000000002E-2</v>
      </c>
      <c r="J3" s="3">
        <f>(0.108337266+0.000046499*(F3^2*G3))</f>
        <v>0.16302009000000001</v>
      </c>
      <c r="K3" s="4">
        <f t="shared" ref="K3:K194" si="3">J3/0.15</f>
        <v>1.0868006000000001</v>
      </c>
      <c r="L3" s="4">
        <f t="shared" ref="L3:L68" si="4">1*1/0.35</f>
        <v>2.8571428571428572</v>
      </c>
      <c r="N3">
        <v>500</v>
      </c>
      <c r="O3">
        <f>+N3*7</f>
        <v>3500</v>
      </c>
    </row>
    <row r="4" spans="1:15" x14ac:dyDescent="0.25">
      <c r="A4" s="1">
        <v>1</v>
      </c>
      <c r="B4" s="1">
        <v>3</v>
      </c>
      <c r="C4" s="1" t="s">
        <v>56</v>
      </c>
      <c r="D4" s="1" t="s">
        <v>59</v>
      </c>
      <c r="E4" s="1" t="s">
        <v>53</v>
      </c>
      <c r="F4" s="1">
        <v>12</v>
      </c>
      <c r="G4">
        <v>5</v>
      </c>
      <c r="H4" s="3">
        <f t="shared" si="1"/>
        <v>1.130976E-2</v>
      </c>
      <c r="I4" s="4">
        <f t="shared" si="2"/>
        <v>5.6548799999999996E-2</v>
      </c>
      <c r="J4" s="3">
        <f t="shared" ref="J4:J59" si="5">(0.108337266+0.000046499*(F4^2*G4))</f>
        <v>0.14181654599999999</v>
      </c>
      <c r="K4" s="4">
        <f t="shared" si="3"/>
        <v>0.94544363999999992</v>
      </c>
      <c r="L4" s="4">
        <f t="shared" si="4"/>
        <v>2.8571428571428572</v>
      </c>
    </row>
    <row r="5" spans="1:15" x14ac:dyDescent="0.25">
      <c r="A5" s="1">
        <v>1</v>
      </c>
      <c r="B5" s="1">
        <v>4</v>
      </c>
      <c r="C5" s="1" t="s">
        <v>55</v>
      </c>
      <c r="D5" s="1" t="s">
        <v>58</v>
      </c>
      <c r="E5" s="1" t="s">
        <v>53</v>
      </c>
      <c r="F5" s="1">
        <v>17</v>
      </c>
      <c r="G5">
        <v>10</v>
      </c>
      <c r="H5" s="3">
        <f t="shared" si="1"/>
        <v>2.2698060000000003E-2</v>
      </c>
      <c r="I5" s="4">
        <f t="shared" si="2"/>
        <v>0.1134903</v>
      </c>
      <c r="J5" s="3">
        <f t="shared" si="5"/>
        <v>0.24271937599999999</v>
      </c>
      <c r="K5" s="4">
        <f t="shared" si="3"/>
        <v>1.6181291733333334</v>
      </c>
      <c r="L5" s="4">
        <f t="shared" si="4"/>
        <v>2.8571428571428572</v>
      </c>
    </row>
    <row r="6" spans="1:15" x14ac:dyDescent="0.25">
      <c r="A6" s="1">
        <v>1</v>
      </c>
      <c r="B6" s="1">
        <v>5</v>
      </c>
      <c r="C6" s="1" t="s">
        <v>55</v>
      </c>
      <c r="D6" s="1" t="s">
        <v>58</v>
      </c>
      <c r="E6" s="1" t="s">
        <v>53</v>
      </c>
      <c r="F6" s="1">
        <v>18</v>
      </c>
      <c r="G6">
        <v>12</v>
      </c>
      <c r="H6" s="3">
        <f t="shared" si="1"/>
        <v>2.5446959999999998E-2</v>
      </c>
      <c r="I6" s="4">
        <f t="shared" si="2"/>
        <v>0.12723479999999998</v>
      </c>
      <c r="J6" s="3">
        <f t="shared" si="5"/>
        <v>0.28912537799999999</v>
      </c>
      <c r="K6" s="4">
        <f t="shared" si="3"/>
        <v>1.92750252</v>
      </c>
      <c r="L6" s="4">
        <f t="shared" si="4"/>
        <v>2.8571428571428572</v>
      </c>
    </row>
    <row r="7" spans="1:15" s="1" customFormat="1" x14ac:dyDescent="0.25">
      <c r="A7" s="1">
        <v>1</v>
      </c>
      <c r="B7" s="1">
        <v>6</v>
      </c>
      <c r="C7" s="1" t="s">
        <v>55</v>
      </c>
      <c r="D7" s="1" t="s">
        <v>58</v>
      </c>
      <c r="E7" s="1" t="s">
        <v>53</v>
      </c>
      <c r="F7" s="1">
        <v>15</v>
      </c>
      <c r="G7" s="1">
        <v>10</v>
      </c>
      <c r="H7" s="3">
        <f t="shared" si="1"/>
        <v>1.76715E-2</v>
      </c>
      <c r="I7" s="4">
        <f t="shared" si="2"/>
        <v>8.8357499999999992E-2</v>
      </c>
      <c r="J7" s="3">
        <f t="shared" si="5"/>
        <v>0.212960016</v>
      </c>
      <c r="K7" s="4">
        <f t="shared" si="3"/>
        <v>1.4197334400000001</v>
      </c>
      <c r="L7" s="4">
        <f t="shared" si="4"/>
        <v>2.8571428571428572</v>
      </c>
    </row>
    <row r="8" spans="1:15" s="1" customFormat="1" x14ac:dyDescent="0.25">
      <c r="A8" s="1">
        <v>1</v>
      </c>
      <c r="B8" s="1">
        <v>7</v>
      </c>
      <c r="C8" s="1" t="s">
        <v>55</v>
      </c>
      <c r="D8" s="1" t="s">
        <v>58</v>
      </c>
      <c r="E8" s="1" t="s">
        <v>53</v>
      </c>
      <c r="F8" s="1">
        <v>18</v>
      </c>
      <c r="G8" s="1">
        <v>12</v>
      </c>
      <c r="H8" s="3">
        <f t="shared" si="1"/>
        <v>2.5446959999999998E-2</v>
      </c>
      <c r="I8" s="4">
        <f t="shared" si="2"/>
        <v>0.12723479999999998</v>
      </c>
      <c r="J8" s="3">
        <f t="shared" si="5"/>
        <v>0.28912537799999999</v>
      </c>
      <c r="K8" s="4">
        <f t="shared" si="3"/>
        <v>1.92750252</v>
      </c>
      <c r="L8" s="4">
        <f t="shared" si="4"/>
        <v>2.8571428571428572</v>
      </c>
    </row>
    <row r="9" spans="1:15" s="1" customFormat="1" x14ac:dyDescent="0.25">
      <c r="A9" s="1">
        <v>1</v>
      </c>
      <c r="B9" s="1">
        <v>8</v>
      </c>
      <c r="C9" s="1" t="s">
        <v>55</v>
      </c>
      <c r="D9" s="1" t="s">
        <v>58</v>
      </c>
      <c r="E9" s="1" t="s">
        <v>53</v>
      </c>
      <c r="F9" s="1">
        <v>12</v>
      </c>
      <c r="G9" s="1">
        <v>6</v>
      </c>
      <c r="H9" s="3">
        <f t="shared" si="1"/>
        <v>1.130976E-2</v>
      </c>
      <c r="I9" s="4">
        <f t="shared" si="2"/>
        <v>5.6548799999999996E-2</v>
      </c>
      <c r="J9" s="3">
        <f t="shared" si="5"/>
        <v>0.14851240199999999</v>
      </c>
      <c r="K9" s="4">
        <f t="shared" si="3"/>
        <v>0.99008267999999999</v>
      </c>
      <c r="L9" s="4">
        <f t="shared" si="4"/>
        <v>2.8571428571428572</v>
      </c>
    </row>
    <row r="10" spans="1:15" s="1" customFormat="1" x14ac:dyDescent="0.25">
      <c r="A10" s="1">
        <v>1</v>
      </c>
      <c r="B10" s="1">
        <v>9</v>
      </c>
      <c r="C10" s="1" t="s">
        <v>55</v>
      </c>
      <c r="D10" s="1" t="s">
        <v>58</v>
      </c>
      <c r="E10" s="1" t="s">
        <v>53</v>
      </c>
      <c r="F10" s="1">
        <v>15</v>
      </c>
      <c r="G10" s="1">
        <v>7</v>
      </c>
      <c r="H10" s="3">
        <f t="shared" si="1"/>
        <v>1.76715E-2</v>
      </c>
      <c r="I10" s="4">
        <f t="shared" si="2"/>
        <v>8.8357499999999992E-2</v>
      </c>
      <c r="J10" s="3">
        <f t="shared" si="5"/>
        <v>0.18157319100000002</v>
      </c>
      <c r="K10" s="4">
        <f t="shared" si="3"/>
        <v>1.2104879400000002</v>
      </c>
      <c r="L10" s="4">
        <f t="shared" si="4"/>
        <v>2.8571428571428572</v>
      </c>
    </row>
    <row r="11" spans="1:15" s="1" customFormat="1" x14ac:dyDescent="0.25">
      <c r="A11" s="1">
        <v>1</v>
      </c>
      <c r="B11" s="1">
        <v>10</v>
      </c>
      <c r="C11" s="1" t="s">
        <v>55</v>
      </c>
      <c r="D11" s="1" t="s">
        <v>58</v>
      </c>
      <c r="E11" s="1" t="s">
        <v>53</v>
      </c>
      <c r="F11" s="1">
        <v>15</v>
      </c>
      <c r="G11" s="1">
        <v>7</v>
      </c>
      <c r="H11" s="3">
        <f t="shared" si="1"/>
        <v>1.76715E-2</v>
      </c>
      <c r="I11" s="4">
        <f t="shared" si="2"/>
        <v>8.8357499999999992E-2</v>
      </c>
      <c r="J11" s="3">
        <f t="shared" si="5"/>
        <v>0.18157319100000002</v>
      </c>
      <c r="K11" s="4">
        <f t="shared" si="3"/>
        <v>1.2104879400000002</v>
      </c>
      <c r="L11" s="4">
        <f t="shared" si="4"/>
        <v>2.8571428571428572</v>
      </c>
    </row>
    <row r="12" spans="1:15" s="1" customFormat="1" x14ac:dyDescent="0.25">
      <c r="A12" s="1">
        <v>1</v>
      </c>
      <c r="B12" s="1">
        <v>11</v>
      </c>
      <c r="C12" s="1" t="s">
        <v>55</v>
      </c>
      <c r="D12" s="1" t="s">
        <v>58</v>
      </c>
      <c r="E12" s="1" t="s">
        <v>54</v>
      </c>
      <c r="F12" s="1">
        <v>20</v>
      </c>
      <c r="G12" s="1">
        <v>8</v>
      </c>
      <c r="H12" s="3">
        <f t="shared" si="1"/>
        <v>3.1416000000000006E-2</v>
      </c>
      <c r="I12" s="4">
        <f t="shared" si="2"/>
        <v>0.15708000000000003</v>
      </c>
      <c r="J12" s="3">
        <f t="shared" si="5"/>
        <v>0.25713406599999999</v>
      </c>
      <c r="K12" s="4">
        <f t="shared" si="3"/>
        <v>1.7142271066666668</v>
      </c>
      <c r="L12" s="4">
        <f t="shared" si="4"/>
        <v>2.8571428571428572</v>
      </c>
    </row>
    <row r="13" spans="1:15" s="1" customFormat="1" x14ac:dyDescent="0.25">
      <c r="A13" s="1">
        <v>1</v>
      </c>
      <c r="B13" s="1">
        <v>12</v>
      </c>
      <c r="C13" s="1" t="s">
        <v>55</v>
      </c>
      <c r="D13" s="1" t="s">
        <v>58</v>
      </c>
      <c r="E13" s="1" t="s">
        <v>53</v>
      </c>
      <c r="F13" s="1">
        <v>15</v>
      </c>
      <c r="G13" s="1">
        <v>6</v>
      </c>
      <c r="H13" s="3">
        <f t="shared" si="1"/>
        <v>1.76715E-2</v>
      </c>
      <c r="I13" s="4">
        <f t="shared" si="2"/>
        <v>8.8357499999999992E-2</v>
      </c>
      <c r="J13" s="3">
        <f t="shared" si="5"/>
        <v>0.171110916</v>
      </c>
      <c r="K13" s="4">
        <f t="shared" si="3"/>
        <v>1.1407394400000002</v>
      </c>
      <c r="L13" s="4">
        <f t="shared" si="4"/>
        <v>2.8571428571428572</v>
      </c>
    </row>
    <row r="14" spans="1:15" s="1" customFormat="1" x14ac:dyDescent="0.25">
      <c r="A14" s="1">
        <v>1</v>
      </c>
      <c r="B14" s="1">
        <v>13</v>
      </c>
      <c r="C14" s="1" t="s">
        <v>55</v>
      </c>
      <c r="D14" s="1" t="s">
        <v>58</v>
      </c>
      <c r="E14" s="1" t="s">
        <v>53</v>
      </c>
      <c r="F14" s="1">
        <v>17</v>
      </c>
      <c r="G14" s="1">
        <v>8</v>
      </c>
      <c r="H14" s="3">
        <f t="shared" si="1"/>
        <v>2.2698060000000003E-2</v>
      </c>
      <c r="I14" s="4">
        <f t="shared" si="2"/>
        <v>0.1134903</v>
      </c>
      <c r="J14" s="3">
        <f t="shared" si="5"/>
        <v>0.215842954</v>
      </c>
      <c r="K14" s="4">
        <f t="shared" si="3"/>
        <v>1.4389530266666668</v>
      </c>
      <c r="L14" s="4">
        <f t="shared" si="4"/>
        <v>2.8571428571428572</v>
      </c>
    </row>
    <row r="15" spans="1:15" s="1" customFormat="1" x14ac:dyDescent="0.25">
      <c r="A15" s="1">
        <v>1</v>
      </c>
      <c r="B15" s="1">
        <v>14</v>
      </c>
      <c r="C15" s="1" t="s">
        <v>55</v>
      </c>
      <c r="D15" s="1" t="s">
        <v>58</v>
      </c>
      <c r="E15" s="1" t="s">
        <v>53</v>
      </c>
      <c r="F15" s="1">
        <v>16</v>
      </c>
      <c r="G15" s="1">
        <v>9</v>
      </c>
      <c r="H15" s="3">
        <f t="shared" si="1"/>
        <v>2.0106240000000001E-2</v>
      </c>
      <c r="I15" s="4">
        <f t="shared" si="2"/>
        <v>0.1005312</v>
      </c>
      <c r="J15" s="3">
        <f t="shared" si="5"/>
        <v>0.21547096199999999</v>
      </c>
      <c r="K15" s="4">
        <f t="shared" si="3"/>
        <v>1.4364730800000001</v>
      </c>
      <c r="L15" s="4">
        <f t="shared" si="4"/>
        <v>2.8571428571428572</v>
      </c>
    </row>
    <row r="16" spans="1:15" s="1" customFormat="1" x14ac:dyDescent="0.25">
      <c r="A16" s="1">
        <v>1</v>
      </c>
      <c r="B16" s="1">
        <v>15</v>
      </c>
      <c r="C16" s="1" t="s">
        <v>55</v>
      </c>
      <c r="D16" s="1" t="s">
        <v>58</v>
      </c>
      <c r="E16" s="1" t="s">
        <v>53</v>
      </c>
      <c r="F16" s="1">
        <v>19</v>
      </c>
      <c r="G16" s="1">
        <v>8</v>
      </c>
      <c r="H16" s="3">
        <f t="shared" si="1"/>
        <v>2.835294E-2</v>
      </c>
      <c r="I16" s="4">
        <f t="shared" si="2"/>
        <v>0.14176469999999999</v>
      </c>
      <c r="J16" s="3">
        <f t="shared" si="5"/>
        <v>0.24262637800000003</v>
      </c>
      <c r="K16" s="4">
        <f t="shared" si="3"/>
        <v>1.6175091866666669</v>
      </c>
      <c r="L16" s="4">
        <f t="shared" si="4"/>
        <v>2.8571428571428572</v>
      </c>
    </row>
    <row r="17" spans="1:12" s="1" customFormat="1" x14ac:dyDescent="0.25">
      <c r="A17" s="1">
        <v>1</v>
      </c>
      <c r="B17" s="1">
        <v>16</v>
      </c>
      <c r="C17" s="1" t="s">
        <v>55</v>
      </c>
      <c r="D17" s="1" t="s">
        <v>58</v>
      </c>
      <c r="E17" s="1" t="s">
        <v>53</v>
      </c>
      <c r="F17" s="1">
        <v>17</v>
      </c>
      <c r="G17" s="1">
        <v>7</v>
      </c>
      <c r="H17" s="3">
        <f t="shared" si="1"/>
        <v>2.2698060000000003E-2</v>
      </c>
      <c r="I17" s="4">
        <f t="shared" si="2"/>
        <v>0.1134903</v>
      </c>
      <c r="J17" s="3">
        <f t="shared" si="5"/>
        <v>0.202404743</v>
      </c>
      <c r="K17" s="4">
        <f t="shared" si="3"/>
        <v>1.3493649533333334</v>
      </c>
      <c r="L17" s="4">
        <f t="shared" si="4"/>
        <v>2.8571428571428572</v>
      </c>
    </row>
    <row r="18" spans="1:12" x14ac:dyDescent="0.25">
      <c r="A18" s="1">
        <v>1</v>
      </c>
      <c r="B18" s="1">
        <v>17</v>
      </c>
      <c r="C18" s="1" t="s">
        <v>55</v>
      </c>
      <c r="D18" s="1" t="s">
        <v>58</v>
      </c>
      <c r="E18" s="1" t="s">
        <v>53</v>
      </c>
      <c r="F18" s="1">
        <v>14</v>
      </c>
      <c r="G18">
        <v>6</v>
      </c>
      <c r="H18" s="3">
        <f t="shared" si="1"/>
        <v>1.5393840000000002E-2</v>
      </c>
      <c r="I18" s="4">
        <f t="shared" si="2"/>
        <v>7.6969200000000002E-2</v>
      </c>
      <c r="J18" s="3">
        <f t="shared" si="5"/>
        <v>0.16302009000000001</v>
      </c>
      <c r="K18" s="4">
        <f t="shared" si="3"/>
        <v>1.0868006000000001</v>
      </c>
      <c r="L18" s="4">
        <f t="shared" si="4"/>
        <v>2.8571428571428572</v>
      </c>
    </row>
    <row r="19" spans="1:12" x14ac:dyDescent="0.25">
      <c r="A19" s="1">
        <v>1</v>
      </c>
      <c r="B19" s="1">
        <v>18</v>
      </c>
      <c r="C19" s="1" t="s">
        <v>55</v>
      </c>
      <c r="D19" s="1" t="s">
        <v>58</v>
      </c>
      <c r="E19" s="1" t="s">
        <v>53</v>
      </c>
      <c r="F19" s="1">
        <v>14</v>
      </c>
      <c r="G19">
        <v>7</v>
      </c>
      <c r="H19" s="3">
        <f t="shared" si="1"/>
        <v>1.5393840000000002E-2</v>
      </c>
      <c r="I19" s="4">
        <f t="shared" si="2"/>
        <v>7.6969200000000002E-2</v>
      </c>
      <c r="J19" s="3">
        <f t="shared" si="5"/>
        <v>0.17213389400000001</v>
      </c>
      <c r="K19" s="4">
        <f t="shared" si="3"/>
        <v>1.1475592933333334</v>
      </c>
      <c r="L19" s="4">
        <f t="shared" si="4"/>
        <v>2.8571428571428572</v>
      </c>
    </row>
    <row r="20" spans="1:12" x14ac:dyDescent="0.25">
      <c r="A20" s="1">
        <v>1</v>
      </c>
      <c r="B20" s="1">
        <v>19</v>
      </c>
      <c r="C20" s="1" t="s">
        <v>55</v>
      </c>
      <c r="D20" s="1" t="s">
        <v>58</v>
      </c>
      <c r="E20" s="1" t="s">
        <v>53</v>
      </c>
      <c r="F20" s="1">
        <v>14</v>
      </c>
      <c r="G20">
        <v>7</v>
      </c>
      <c r="H20" s="3">
        <f t="shared" si="1"/>
        <v>1.5393840000000002E-2</v>
      </c>
      <c r="I20" s="4">
        <f t="shared" si="2"/>
        <v>7.6969200000000002E-2</v>
      </c>
      <c r="J20" s="3">
        <f t="shared" si="5"/>
        <v>0.17213389400000001</v>
      </c>
      <c r="K20" s="4">
        <f t="shared" si="3"/>
        <v>1.1475592933333334</v>
      </c>
      <c r="L20" s="4">
        <f t="shared" si="4"/>
        <v>2.8571428571428572</v>
      </c>
    </row>
    <row r="21" spans="1:12" s="1" customFormat="1" x14ac:dyDescent="0.25">
      <c r="A21" s="1">
        <v>1</v>
      </c>
      <c r="B21" s="1">
        <v>20</v>
      </c>
      <c r="C21" s="1" t="s">
        <v>55</v>
      </c>
      <c r="D21" s="1" t="s">
        <v>58</v>
      </c>
      <c r="E21" s="1" t="s">
        <v>53</v>
      </c>
      <c r="F21" s="1">
        <v>15</v>
      </c>
      <c r="G21" s="1">
        <v>8</v>
      </c>
      <c r="H21" s="3">
        <f t="shared" si="1"/>
        <v>1.76715E-2</v>
      </c>
      <c r="I21" s="4">
        <f t="shared" si="2"/>
        <v>8.8357499999999992E-2</v>
      </c>
      <c r="J21" s="3">
        <f t="shared" si="5"/>
        <v>0.19203546599999999</v>
      </c>
      <c r="K21" s="4">
        <f t="shared" si="3"/>
        <v>1.2802364399999999</v>
      </c>
      <c r="L21" s="4">
        <f t="shared" si="4"/>
        <v>2.8571428571428572</v>
      </c>
    </row>
    <row r="22" spans="1:12" s="1" customFormat="1" x14ac:dyDescent="0.25">
      <c r="A22" s="1">
        <v>1</v>
      </c>
      <c r="B22" s="1">
        <v>21</v>
      </c>
      <c r="C22" s="1" t="s">
        <v>55</v>
      </c>
      <c r="D22" s="1" t="s">
        <v>58</v>
      </c>
      <c r="E22" s="1" t="s">
        <v>53</v>
      </c>
      <c r="F22" s="1">
        <v>14</v>
      </c>
      <c r="G22" s="1">
        <v>9</v>
      </c>
      <c r="H22" s="3">
        <f t="shared" si="1"/>
        <v>1.5393840000000002E-2</v>
      </c>
      <c r="I22" s="4">
        <f t="shared" si="2"/>
        <v>7.6969200000000002E-2</v>
      </c>
      <c r="J22" s="3">
        <f t="shared" si="5"/>
        <v>0.19036150200000002</v>
      </c>
      <c r="K22" s="4">
        <f t="shared" si="3"/>
        <v>1.2690766800000002</v>
      </c>
      <c r="L22" s="4">
        <f t="shared" si="4"/>
        <v>2.8571428571428572</v>
      </c>
    </row>
    <row r="23" spans="1:12" x14ac:dyDescent="0.25">
      <c r="A23" s="1">
        <v>1</v>
      </c>
      <c r="B23" s="1">
        <v>22</v>
      </c>
      <c r="C23" s="1" t="s">
        <v>55</v>
      </c>
      <c r="D23" s="1" t="s">
        <v>58</v>
      </c>
      <c r="E23" s="1" t="s">
        <v>53</v>
      </c>
      <c r="F23" s="1">
        <v>16</v>
      </c>
      <c r="G23">
        <v>8</v>
      </c>
      <c r="H23" s="3">
        <f t="shared" si="1"/>
        <v>2.0106240000000001E-2</v>
      </c>
      <c r="I23" s="4">
        <f t="shared" si="2"/>
        <v>0.1005312</v>
      </c>
      <c r="J23" s="3">
        <f t="shared" si="5"/>
        <v>0.20356721799999999</v>
      </c>
      <c r="K23" s="4">
        <f t="shared" si="3"/>
        <v>1.3571147866666666</v>
      </c>
      <c r="L23" s="4">
        <f t="shared" si="4"/>
        <v>2.8571428571428572</v>
      </c>
    </row>
    <row r="24" spans="1:12" x14ac:dyDescent="0.25">
      <c r="A24" s="1">
        <v>1</v>
      </c>
      <c r="B24" s="1">
        <v>23</v>
      </c>
      <c r="C24" s="1" t="s">
        <v>55</v>
      </c>
      <c r="D24" s="1" t="s">
        <v>58</v>
      </c>
      <c r="E24" s="1" t="s">
        <v>54</v>
      </c>
      <c r="F24" s="1">
        <v>20</v>
      </c>
      <c r="G24">
        <v>9</v>
      </c>
      <c r="H24" s="3">
        <f t="shared" si="1"/>
        <v>3.1416000000000006E-2</v>
      </c>
      <c r="I24" s="4">
        <f t="shared" si="2"/>
        <v>0.15708000000000003</v>
      </c>
      <c r="J24" s="3">
        <f t="shared" si="5"/>
        <v>0.27573366599999999</v>
      </c>
      <c r="K24" s="4">
        <f t="shared" si="3"/>
        <v>1.8382244400000001</v>
      </c>
      <c r="L24" s="4">
        <f t="shared" si="4"/>
        <v>2.8571428571428572</v>
      </c>
    </row>
    <row r="25" spans="1:12" x14ac:dyDescent="0.25">
      <c r="A25">
        <v>2</v>
      </c>
      <c r="B25">
        <v>1</v>
      </c>
      <c r="C25" s="1" t="s">
        <v>56</v>
      </c>
      <c r="D25" s="1" t="s">
        <v>59</v>
      </c>
      <c r="E25" s="1" t="s">
        <v>53</v>
      </c>
      <c r="F25" s="1">
        <v>13</v>
      </c>
      <c r="G25">
        <v>8</v>
      </c>
      <c r="H25" s="3">
        <f t="shared" si="1"/>
        <v>1.3273260000000002E-2</v>
      </c>
      <c r="I25" s="4">
        <f t="shared" ref="I25:I194" si="6">H25*1/0.15</f>
        <v>8.8488400000000023E-2</v>
      </c>
      <c r="J25" s="3">
        <f t="shared" si="5"/>
        <v>0.17120391400000001</v>
      </c>
      <c r="K25" s="4">
        <f t="shared" si="3"/>
        <v>1.1413594266666669</v>
      </c>
      <c r="L25" s="4">
        <f t="shared" si="4"/>
        <v>2.8571428571428572</v>
      </c>
    </row>
    <row r="26" spans="1:12" x14ac:dyDescent="0.25">
      <c r="A26">
        <v>2</v>
      </c>
      <c r="B26">
        <v>2</v>
      </c>
      <c r="C26" s="1" t="s">
        <v>56</v>
      </c>
      <c r="D26" s="1" t="s">
        <v>59</v>
      </c>
      <c r="E26" s="1" t="s">
        <v>53</v>
      </c>
      <c r="F26" s="1">
        <v>10</v>
      </c>
      <c r="G26">
        <v>6</v>
      </c>
      <c r="H26" s="3">
        <f t="shared" si="1"/>
        <v>7.8540000000000016E-3</v>
      </c>
      <c r="I26" s="4">
        <f t="shared" si="6"/>
        <v>5.2360000000000011E-2</v>
      </c>
      <c r="J26" s="3">
        <f t="shared" si="5"/>
        <v>0.13623666600000001</v>
      </c>
      <c r="K26" s="4">
        <f t="shared" si="3"/>
        <v>0.90824444000000004</v>
      </c>
      <c r="L26" s="4">
        <f t="shared" si="4"/>
        <v>2.8571428571428572</v>
      </c>
    </row>
    <row r="27" spans="1:12" x14ac:dyDescent="0.25">
      <c r="A27" s="1">
        <v>2</v>
      </c>
      <c r="B27" s="1">
        <v>3</v>
      </c>
      <c r="C27" s="1" t="s">
        <v>56</v>
      </c>
      <c r="D27" s="1" t="s">
        <v>59</v>
      </c>
      <c r="E27" s="1" t="s">
        <v>53</v>
      </c>
      <c r="F27" s="1">
        <v>10</v>
      </c>
      <c r="G27">
        <v>6</v>
      </c>
      <c r="H27" s="3">
        <f t="shared" si="1"/>
        <v>7.8540000000000016E-3</v>
      </c>
      <c r="I27" s="4">
        <f t="shared" si="6"/>
        <v>5.2360000000000011E-2</v>
      </c>
      <c r="J27" s="3">
        <f t="shared" si="5"/>
        <v>0.13623666600000001</v>
      </c>
      <c r="K27" s="4">
        <f t="shared" si="3"/>
        <v>0.90824444000000004</v>
      </c>
      <c r="L27" s="4">
        <f t="shared" si="4"/>
        <v>2.8571428571428572</v>
      </c>
    </row>
    <row r="28" spans="1:12" x14ac:dyDescent="0.25">
      <c r="A28" s="1">
        <v>2</v>
      </c>
      <c r="B28" s="1">
        <v>4</v>
      </c>
      <c r="C28" s="1" t="s">
        <v>60</v>
      </c>
      <c r="D28" s="1" t="s">
        <v>69</v>
      </c>
      <c r="E28" s="1" t="s">
        <v>53</v>
      </c>
      <c r="F28" s="1">
        <v>12</v>
      </c>
      <c r="G28">
        <v>6</v>
      </c>
      <c r="H28" s="3">
        <f t="shared" si="1"/>
        <v>1.130976E-2</v>
      </c>
      <c r="I28" s="4">
        <f t="shared" si="6"/>
        <v>7.5398400000000004E-2</v>
      </c>
      <c r="J28" s="3">
        <f t="shared" si="5"/>
        <v>0.14851240199999999</v>
      </c>
      <c r="K28" s="4">
        <f t="shared" si="3"/>
        <v>0.99008267999999999</v>
      </c>
      <c r="L28" s="4">
        <f t="shared" si="4"/>
        <v>2.8571428571428572</v>
      </c>
    </row>
    <row r="29" spans="1:12" x14ac:dyDescent="0.25">
      <c r="A29" s="1">
        <v>2</v>
      </c>
      <c r="B29" s="1">
        <v>5</v>
      </c>
      <c r="C29" s="1" t="s">
        <v>60</v>
      </c>
      <c r="D29" s="1" t="s">
        <v>69</v>
      </c>
      <c r="E29" s="1" t="s">
        <v>53</v>
      </c>
      <c r="F29" s="1">
        <v>16</v>
      </c>
      <c r="G29">
        <v>7</v>
      </c>
      <c r="H29" s="3">
        <f t="shared" si="1"/>
        <v>2.0106240000000001E-2</v>
      </c>
      <c r="I29" s="4">
        <f t="shared" si="6"/>
        <v>0.13404160000000001</v>
      </c>
      <c r="J29" s="3">
        <f t="shared" si="5"/>
        <v>0.191663474</v>
      </c>
      <c r="K29" s="4">
        <f t="shared" si="3"/>
        <v>1.2777564933333334</v>
      </c>
      <c r="L29" s="4">
        <f t="shared" si="4"/>
        <v>2.8571428571428572</v>
      </c>
    </row>
    <row r="30" spans="1:12" x14ac:dyDescent="0.25">
      <c r="A30" s="1">
        <v>2</v>
      </c>
      <c r="B30" s="1">
        <v>6</v>
      </c>
      <c r="C30" s="1" t="s">
        <v>55</v>
      </c>
      <c r="D30" s="1" t="s">
        <v>58</v>
      </c>
      <c r="E30" s="1" t="s">
        <v>53</v>
      </c>
      <c r="F30" s="1">
        <v>15</v>
      </c>
      <c r="G30">
        <v>8</v>
      </c>
      <c r="H30" s="3">
        <f t="shared" si="1"/>
        <v>1.76715E-2</v>
      </c>
      <c r="I30" s="4">
        <f t="shared" si="6"/>
        <v>0.11781</v>
      </c>
      <c r="J30" s="3">
        <f t="shared" si="5"/>
        <v>0.19203546599999999</v>
      </c>
      <c r="K30" s="4">
        <f t="shared" si="3"/>
        <v>1.2802364399999999</v>
      </c>
      <c r="L30" s="4">
        <f t="shared" si="4"/>
        <v>2.8571428571428572</v>
      </c>
    </row>
    <row r="31" spans="1:12" x14ac:dyDescent="0.25">
      <c r="A31" s="1">
        <v>2</v>
      </c>
      <c r="B31" s="1">
        <v>7</v>
      </c>
      <c r="C31" s="1" t="s">
        <v>55</v>
      </c>
      <c r="D31" s="1" t="s">
        <v>58</v>
      </c>
      <c r="E31" s="1" t="s">
        <v>53</v>
      </c>
      <c r="F31" s="1">
        <v>17</v>
      </c>
      <c r="G31">
        <v>10</v>
      </c>
      <c r="H31" s="3">
        <f t="shared" si="1"/>
        <v>2.2698060000000003E-2</v>
      </c>
      <c r="I31" s="4">
        <f t="shared" si="6"/>
        <v>0.15132040000000002</v>
      </c>
      <c r="J31" s="3">
        <f t="shared" si="5"/>
        <v>0.24271937599999999</v>
      </c>
      <c r="K31" s="4">
        <f t="shared" si="3"/>
        <v>1.6181291733333334</v>
      </c>
      <c r="L31" s="4">
        <f t="shared" si="4"/>
        <v>2.8571428571428572</v>
      </c>
    </row>
    <row r="32" spans="1:12" x14ac:dyDescent="0.25">
      <c r="A32" s="1">
        <v>2</v>
      </c>
      <c r="B32" s="1">
        <v>8</v>
      </c>
      <c r="C32" s="1" t="s">
        <v>55</v>
      </c>
      <c r="D32" s="1" t="s">
        <v>58</v>
      </c>
      <c r="E32" s="1" t="s">
        <v>53</v>
      </c>
      <c r="F32" s="1">
        <v>15</v>
      </c>
      <c r="G32">
        <v>8</v>
      </c>
      <c r="H32" s="3">
        <f t="shared" si="1"/>
        <v>1.76715E-2</v>
      </c>
      <c r="I32" s="4">
        <f t="shared" si="6"/>
        <v>0.11781</v>
      </c>
      <c r="J32" s="3">
        <f t="shared" si="5"/>
        <v>0.19203546599999999</v>
      </c>
      <c r="K32" s="4">
        <f t="shared" si="3"/>
        <v>1.2802364399999999</v>
      </c>
      <c r="L32" s="4">
        <f t="shared" si="4"/>
        <v>2.8571428571428572</v>
      </c>
    </row>
    <row r="33" spans="1:12" x14ac:dyDescent="0.25">
      <c r="A33" s="1">
        <v>2</v>
      </c>
      <c r="B33" s="1">
        <v>9</v>
      </c>
      <c r="C33" s="1" t="s">
        <v>55</v>
      </c>
      <c r="D33" s="1" t="s">
        <v>58</v>
      </c>
      <c r="E33" s="1" t="s">
        <v>54</v>
      </c>
      <c r="F33" s="1">
        <v>20</v>
      </c>
      <c r="G33">
        <v>10</v>
      </c>
      <c r="H33" s="3">
        <f t="shared" si="1"/>
        <v>3.1416000000000006E-2</v>
      </c>
      <c r="I33" s="4">
        <f t="shared" si="6"/>
        <v>0.20944000000000004</v>
      </c>
      <c r="J33" s="3">
        <f t="shared" si="5"/>
        <v>0.29433326600000004</v>
      </c>
      <c r="K33" s="4">
        <f t="shared" si="3"/>
        <v>1.9622217733333336</v>
      </c>
      <c r="L33" s="4">
        <f t="shared" si="4"/>
        <v>2.8571428571428572</v>
      </c>
    </row>
    <row r="34" spans="1:12" x14ac:dyDescent="0.25">
      <c r="A34" s="1">
        <v>2</v>
      </c>
      <c r="B34" s="1">
        <v>10</v>
      </c>
      <c r="C34" s="1" t="s">
        <v>55</v>
      </c>
      <c r="D34" s="1" t="s">
        <v>58</v>
      </c>
      <c r="E34" s="1" t="s">
        <v>53</v>
      </c>
      <c r="F34" s="1">
        <v>10</v>
      </c>
      <c r="G34">
        <v>5</v>
      </c>
      <c r="H34" s="3">
        <f t="shared" si="1"/>
        <v>7.8540000000000016E-3</v>
      </c>
      <c r="I34" s="4">
        <f t="shared" si="6"/>
        <v>5.2360000000000011E-2</v>
      </c>
      <c r="J34" s="3">
        <f t="shared" si="5"/>
        <v>0.13158676599999999</v>
      </c>
      <c r="K34" s="4">
        <f t="shared" si="3"/>
        <v>0.87724510666666666</v>
      </c>
      <c r="L34" s="4">
        <f t="shared" si="4"/>
        <v>2.8571428571428572</v>
      </c>
    </row>
    <row r="35" spans="1:12" x14ac:dyDescent="0.25">
      <c r="A35" s="1">
        <v>2</v>
      </c>
      <c r="B35" s="1">
        <v>11</v>
      </c>
      <c r="C35" s="1" t="s">
        <v>55</v>
      </c>
      <c r="D35" s="1" t="s">
        <v>58</v>
      </c>
      <c r="E35" s="1" t="s">
        <v>53</v>
      </c>
      <c r="F35" s="1">
        <v>10</v>
      </c>
      <c r="G35">
        <v>6</v>
      </c>
      <c r="H35" s="3">
        <f t="shared" si="1"/>
        <v>7.8540000000000016E-3</v>
      </c>
      <c r="I35" s="4">
        <f t="shared" si="6"/>
        <v>5.2360000000000011E-2</v>
      </c>
      <c r="J35" s="3">
        <f t="shared" si="5"/>
        <v>0.13623666600000001</v>
      </c>
      <c r="K35" s="4">
        <f t="shared" si="3"/>
        <v>0.90824444000000004</v>
      </c>
      <c r="L35" s="4">
        <f t="shared" si="4"/>
        <v>2.8571428571428572</v>
      </c>
    </row>
    <row r="36" spans="1:12" x14ac:dyDescent="0.25">
      <c r="A36" s="1">
        <v>2</v>
      </c>
      <c r="B36" s="1">
        <v>12</v>
      </c>
      <c r="C36" s="1" t="s">
        <v>55</v>
      </c>
      <c r="D36" s="1" t="s">
        <v>58</v>
      </c>
      <c r="E36" s="1" t="s">
        <v>53</v>
      </c>
      <c r="F36" s="1">
        <v>12</v>
      </c>
      <c r="G36">
        <v>7</v>
      </c>
      <c r="H36" s="3">
        <f t="shared" si="1"/>
        <v>1.130976E-2</v>
      </c>
      <c r="I36" s="4">
        <f t="shared" si="6"/>
        <v>7.5398400000000004E-2</v>
      </c>
      <c r="J36" s="3">
        <f t="shared" si="5"/>
        <v>0.15520825799999999</v>
      </c>
      <c r="K36" s="4">
        <f t="shared" si="3"/>
        <v>1.0347217200000001</v>
      </c>
      <c r="L36" s="4">
        <f t="shared" si="4"/>
        <v>2.8571428571428572</v>
      </c>
    </row>
    <row r="37" spans="1:12" x14ac:dyDescent="0.25">
      <c r="A37" s="1">
        <v>2</v>
      </c>
      <c r="B37" s="1">
        <v>13</v>
      </c>
      <c r="C37" s="1" t="s">
        <v>55</v>
      </c>
      <c r="D37" s="1" t="s">
        <v>58</v>
      </c>
      <c r="E37" s="1" t="s">
        <v>54</v>
      </c>
      <c r="F37" s="1">
        <v>20</v>
      </c>
      <c r="G37">
        <v>9</v>
      </c>
      <c r="H37" s="3">
        <f t="shared" si="1"/>
        <v>3.1416000000000006E-2</v>
      </c>
      <c r="I37" s="4">
        <f t="shared" si="6"/>
        <v>0.20944000000000004</v>
      </c>
      <c r="J37" s="3">
        <f t="shared" si="5"/>
        <v>0.27573366599999999</v>
      </c>
      <c r="K37" s="4">
        <f t="shared" si="3"/>
        <v>1.8382244400000001</v>
      </c>
      <c r="L37" s="4">
        <f t="shared" si="4"/>
        <v>2.8571428571428572</v>
      </c>
    </row>
    <row r="38" spans="1:12" x14ac:dyDescent="0.25">
      <c r="A38" s="1">
        <v>2</v>
      </c>
      <c r="B38" s="1">
        <v>14</v>
      </c>
      <c r="C38" s="1" t="s">
        <v>55</v>
      </c>
      <c r="D38" s="1" t="s">
        <v>58</v>
      </c>
      <c r="E38" s="1" t="s">
        <v>53</v>
      </c>
      <c r="F38" s="1">
        <v>17</v>
      </c>
      <c r="G38">
        <v>8</v>
      </c>
      <c r="H38" s="3">
        <f t="shared" si="1"/>
        <v>2.2698060000000003E-2</v>
      </c>
      <c r="I38" s="4">
        <f t="shared" si="6"/>
        <v>0.15132040000000002</v>
      </c>
      <c r="J38" s="3">
        <f t="shared" si="5"/>
        <v>0.215842954</v>
      </c>
      <c r="K38" s="4">
        <f t="shared" si="3"/>
        <v>1.4389530266666668</v>
      </c>
      <c r="L38" s="4">
        <f t="shared" si="4"/>
        <v>2.8571428571428572</v>
      </c>
    </row>
    <row r="39" spans="1:12" s="1" customFormat="1" x14ac:dyDescent="0.25">
      <c r="A39" s="1">
        <v>2</v>
      </c>
      <c r="B39" s="1">
        <v>15</v>
      </c>
      <c r="C39" s="1" t="s">
        <v>55</v>
      </c>
      <c r="D39" s="1" t="s">
        <v>58</v>
      </c>
      <c r="E39" s="1" t="s">
        <v>53</v>
      </c>
      <c r="F39" s="1">
        <v>15</v>
      </c>
      <c r="G39" s="1">
        <v>8</v>
      </c>
      <c r="H39" s="3">
        <f t="shared" si="1"/>
        <v>1.76715E-2</v>
      </c>
      <c r="I39" s="4">
        <f t="shared" si="6"/>
        <v>0.11781</v>
      </c>
      <c r="J39" s="3">
        <f t="shared" si="5"/>
        <v>0.19203546599999999</v>
      </c>
      <c r="K39" s="4">
        <f t="shared" si="3"/>
        <v>1.2802364399999999</v>
      </c>
      <c r="L39" s="4">
        <f>1*1/0.35</f>
        <v>2.8571428571428572</v>
      </c>
    </row>
    <row r="40" spans="1:12" s="1" customFormat="1" x14ac:dyDescent="0.25">
      <c r="A40" s="1">
        <v>2</v>
      </c>
      <c r="B40" s="1">
        <v>16</v>
      </c>
      <c r="C40" s="1" t="s">
        <v>55</v>
      </c>
      <c r="D40" s="1" t="s">
        <v>58</v>
      </c>
      <c r="E40" s="1" t="s">
        <v>53</v>
      </c>
      <c r="F40" s="1">
        <v>16</v>
      </c>
      <c r="G40" s="1">
        <v>8</v>
      </c>
      <c r="H40" s="3">
        <f t="shared" si="1"/>
        <v>2.0106240000000001E-2</v>
      </c>
      <c r="I40" s="4">
        <f t="shared" si="6"/>
        <v>0.13404160000000001</v>
      </c>
      <c r="J40" s="3">
        <f t="shared" si="5"/>
        <v>0.20356721799999999</v>
      </c>
      <c r="K40" s="4">
        <f t="shared" si="3"/>
        <v>1.3571147866666666</v>
      </c>
      <c r="L40" s="4">
        <f t="shared" si="4"/>
        <v>2.8571428571428572</v>
      </c>
    </row>
    <row r="41" spans="1:12" s="1" customFormat="1" x14ac:dyDescent="0.25">
      <c r="A41" s="1">
        <v>2</v>
      </c>
      <c r="B41" s="1">
        <v>17</v>
      </c>
      <c r="C41" s="1" t="s">
        <v>55</v>
      </c>
      <c r="D41" s="1" t="s">
        <v>58</v>
      </c>
      <c r="E41" s="1" t="s">
        <v>53</v>
      </c>
      <c r="F41" s="1">
        <v>15</v>
      </c>
      <c r="G41" s="1">
        <v>7</v>
      </c>
      <c r="H41" s="3">
        <f t="shared" si="1"/>
        <v>1.76715E-2</v>
      </c>
      <c r="I41" s="4">
        <f t="shared" si="6"/>
        <v>0.11781</v>
      </c>
      <c r="J41" s="3">
        <f t="shared" si="5"/>
        <v>0.18157319100000002</v>
      </c>
      <c r="K41" s="4">
        <f t="shared" si="3"/>
        <v>1.2104879400000002</v>
      </c>
      <c r="L41" s="4">
        <f t="shared" si="4"/>
        <v>2.8571428571428572</v>
      </c>
    </row>
    <row r="42" spans="1:12" s="1" customFormat="1" x14ac:dyDescent="0.25">
      <c r="A42" s="1">
        <v>2</v>
      </c>
      <c r="B42" s="1">
        <v>18</v>
      </c>
      <c r="C42" s="1" t="s">
        <v>55</v>
      </c>
      <c r="D42" s="1" t="s">
        <v>58</v>
      </c>
      <c r="E42" s="1" t="s">
        <v>53</v>
      </c>
      <c r="F42" s="1">
        <v>14</v>
      </c>
      <c r="G42" s="1">
        <v>8</v>
      </c>
      <c r="H42" s="3">
        <f t="shared" si="1"/>
        <v>1.5393840000000002E-2</v>
      </c>
      <c r="I42" s="4">
        <f t="shared" si="6"/>
        <v>0.10262560000000003</v>
      </c>
      <c r="J42" s="3">
        <f t="shared" si="5"/>
        <v>0.18124769800000001</v>
      </c>
      <c r="K42" s="4">
        <f t="shared" si="3"/>
        <v>1.2083179866666669</v>
      </c>
      <c r="L42" s="4">
        <f t="shared" si="4"/>
        <v>2.8571428571428572</v>
      </c>
    </row>
    <row r="43" spans="1:12" s="1" customFormat="1" x14ac:dyDescent="0.25">
      <c r="A43" s="1">
        <v>2</v>
      </c>
      <c r="B43" s="1">
        <v>19</v>
      </c>
      <c r="C43" s="1" t="s">
        <v>55</v>
      </c>
      <c r="D43" s="1" t="s">
        <v>58</v>
      </c>
      <c r="E43" s="1" t="s">
        <v>53</v>
      </c>
      <c r="F43" s="1">
        <v>17</v>
      </c>
      <c r="G43" s="1">
        <v>8</v>
      </c>
      <c r="H43" s="3">
        <f t="shared" si="1"/>
        <v>2.2698060000000003E-2</v>
      </c>
      <c r="I43" s="4">
        <f t="shared" si="6"/>
        <v>0.15132040000000002</v>
      </c>
      <c r="J43" s="3">
        <f t="shared" si="5"/>
        <v>0.215842954</v>
      </c>
      <c r="K43" s="4">
        <f t="shared" si="3"/>
        <v>1.4389530266666668</v>
      </c>
      <c r="L43" s="4">
        <f t="shared" si="4"/>
        <v>2.8571428571428572</v>
      </c>
    </row>
    <row r="44" spans="1:12" x14ac:dyDescent="0.25">
      <c r="A44" s="1">
        <v>2</v>
      </c>
      <c r="B44" s="1">
        <v>20</v>
      </c>
      <c r="C44" s="1" t="s">
        <v>55</v>
      </c>
      <c r="D44" s="1" t="s">
        <v>58</v>
      </c>
      <c r="E44" s="1" t="s">
        <v>53</v>
      </c>
      <c r="F44" s="1">
        <v>18</v>
      </c>
      <c r="G44">
        <v>7</v>
      </c>
      <c r="H44" s="3">
        <f t="shared" si="1"/>
        <v>2.5446959999999998E-2</v>
      </c>
      <c r="I44" s="4">
        <f t="shared" si="6"/>
        <v>0.1696464</v>
      </c>
      <c r="J44" s="3">
        <f t="shared" si="5"/>
        <v>0.21379699800000002</v>
      </c>
      <c r="K44" s="4">
        <f t="shared" si="3"/>
        <v>1.4253133200000001</v>
      </c>
      <c r="L44" s="4">
        <f>1*1/0.35</f>
        <v>2.8571428571428572</v>
      </c>
    </row>
    <row r="45" spans="1:12" x14ac:dyDescent="0.25">
      <c r="A45" s="1">
        <v>2</v>
      </c>
      <c r="B45" s="1">
        <v>21</v>
      </c>
      <c r="C45" s="1" t="s">
        <v>55</v>
      </c>
      <c r="D45" s="1" t="s">
        <v>58</v>
      </c>
      <c r="E45" s="1" t="s">
        <v>53</v>
      </c>
      <c r="F45" s="1">
        <v>19</v>
      </c>
      <c r="G45">
        <v>8</v>
      </c>
      <c r="H45" s="3">
        <f t="shared" si="1"/>
        <v>2.835294E-2</v>
      </c>
      <c r="I45" s="4">
        <f t="shared" si="6"/>
        <v>0.18901960000000001</v>
      </c>
      <c r="J45" s="3">
        <f t="shared" si="5"/>
        <v>0.24262637800000003</v>
      </c>
      <c r="K45" s="4">
        <f t="shared" si="3"/>
        <v>1.6175091866666669</v>
      </c>
      <c r="L45" s="4">
        <f t="shared" si="4"/>
        <v>2.8571428571428572</v>
      </c>
    </row>
    <row r="46" spans="1:12" x14ac:dyDescent="0.25">
      <c r="A46" s="1">
        <v>2</v>
      </c>
      <c r="B46" s="1">
        <v>22</v>
      </c>
      <c r="C46" s="1" t="s">
        <v>55</v>
      </c>
      <c r="D46" s="1" t="s">
        <v>58</v>
      </c>
      <c r="E46" s="1" t="s">
        <v>54</v>
      </c>
      <c r="F46" s="1">
        <v>20</v>
      </c>
      <c r="G46">
        <v>14</v>
      </c>
      <c r="H46" s="3">
        <f t="shared" si="1"/>
        <v>3.1416000000000006E-2</v>
      </c>
      <c r="I46" s="4">
        <f t="shared" si="6"/>
        <v>0.20944000000000004</v>
      </c>
      <c r="J46" s="3">
        <f t="shared" si="5"/>
        <v>0.36873166600000001</v>
      </c>
      <c r="K46" s="4">
        <f t="shared" si="3"/>
        <v>2.458211106666667</v>
      </c>
      <c r="L46" s="4">
        <f t="shared" si="4"/>
        <v>2.8571428571428572</v>
      </c>
    </row>
    <row r="47" spans="1:12" x14ac:dyDescent="0.25">
      <c r="A47" s="1">
        <v>2</v>
      </c>
      <c r="B47" s="1">
        <v>23</v>
      </c>
      <c r="C47" s="1" t="s">
        <v>55</v>
      </c>
      <c r="D47" s="1" t="s">
        <v>58</v>
      </c>
      <c r="E47" s="1" t="s">
        <v>53</v>
      </c>
      <c r="F47" s="1">
        <v>19</v>
      </c>
      <c r="G47">
        <v>9</v>
      </c>
      <c r="H47" s="3">
        <f t="shared" si="1"/>
        <v>2.835294E-2</v>
      </c>
      <c r="I47" s="4">
        <f t="shared" si="6"/>
        <v>0.18901960000000001</v>
      </c>
      <c r="J47" s="3">
        <f t="shared" si="5"/>
        <v>0.25941251700000001</v>
      </c>
      <c r="K47" s="4">
        <f t="shared" si="3"/>
        <v>1.7294167800000002</v>
      </c>
      <c r="L47" s="4">
        <f t="shared" si="4"/>
        <v>2.8571428571428572</v>
      </c>
    </row>
    <row r="48" spans="1:12" x14ac:dyDescent="0.25">
      <c r="A48" s="1">
        <v>2</v>
      </c>
      <c r="B48" s="1">
        <v>24</v>
      </c>
      <c r="C48" s="1" t="s">
        <v>55</v>
      </c>
      <c r="D48" s="1" t="s">
        <v>58</v>
      </c>
      <c r="E48" s="1" t="s">
        <v>53</v>
      </c>
      <c r="F48" s="1">
        <v>17</v>
      </c>
      <c r="G48">
        <v>8</v>
      </c>
      <c r="H48" s="3">
        <f t="shared" si="1"/>
        <v>2.2698060000000003E-2</v>
      </c>
      <c r="I48" s="4">
        <f t="shared" si="6"/>
        <v>0.15132040000000002</v>
      </c>
      <c r="J48" s="3">
        <f t="shared" si="5"/>
        <v>0.215842954</v>
      </c>
      <c r="K48" s="4">
        <f t="shared" si="3"/>
        <v>1.4389530266666668</v>
      </c>
      <c r="L48" s="4">
        <f t="shared" si="4"/>
        <v>2.8571428571428572</v>
      </c>
    </row>
    <row r="49" spans="1:12" x14ac:dyDescent="0.25">
      <c r="A49">
        <v>3</v>
      </c>
      <c r="B49">
        <v>1</v>
      </c>
      <c r="C49" s="1" t="s">
        <v>55</v>
      </c>
      <c r="D49" s="1" t="s">
        <v>58</v>
      </c>
      <c r="E49" s="1" t="s">
        <v>54</v>
      </c>
      <c r="F49" s="1">
        <v>20</v>
      </c>
      <c r="G49">
        <v>10</v>
      </c>
      <c r="H49" s="3">
        <f t="shared" si="1"/>
        <v>3.1416000000000006E-2</v>
      </c>
      <c r="I49" s="4">
        <f t="shared" si="6"/>
        <v>0.20944000000000004</v>
      </c>
      <c r="J49" s="3">
        <f t="shared" si="5"/>
        <v>0.29433326600000004</v>
      </c>
      <c r="K49" s="4">
        <f t="shared" si="3"/>
        <v>1.9622217733333336</v>
      </c>
      <c r="L49" s="4">
        <f t="shared" si="4"/>
        <v>2.8571428571428572</v>
      </c>
    </row>
    <row r="50" spans="1:12" x14ac:dyDescent="0.25">
      <c r="A50">
        <v>3</v>
      </c>
      <c r="B50">
        <v>2</v>
      </c>
      <c r="C50" s="1" t="s">
        <v>55</v>
      </c>
      <c r="D50" s="1" t="s">
        <v>58</v>
      </c>
      <c r="E50" s="1" t="s">
        <v>53</v>
      </c>
      <c r="F50" s="1">
        <v>18</v>
      </c>
      <c r="G50">
        <v>8</v>
      </c>
      <c r="H50" s="3">
        <f t="shared" si="1"/>
        <v>2.5446959999999998E-2</v>
      </c>
      <c r="I50" s="4">
        <f t="shared" si="6"/>
        <v>0.1696464</v>
      </c>
      <c r="J50" s="3">
        <f t="shared" si="5"/>
        <v>0.22886267400000002</v>
      </c>
      <c r="K50" s="4">
        <f t="shared" si="3"/>
        <v>1.5257511600000002</v>
      </c>
      <c r="L50" s="4">
        <f t="shared" si="4"/>
        <v>2.8571428571428572</v>
      </c>
    </row>
    <row r="51" spans="1:12" x14ac:dyDescent="0.25">
      <c r="A51" s="1">
        <v>3</v>
      </c>
      <c r="B51" s="1">
        <v>3</v>
      </c>
      <c r="C51" s="1" t="s">
        <v>55</v>
      </c>
      <c r="D51" s="1" t="s">
        <v>58</v>
      </c>
      <c r="E51" s="1" t="s">
        <v>53</v>
      </c>
      <c r="F51" s="1">
        <v>17</v>
      </c>
      <c r="G51">
        <v>7</v>
      </c>
      <c r="H51" s="3">
        <f t="shared" si="1"/>
        <v>2.2698060000000003E-2</v>
      </c>
      <c r="I51" s="4">
        <f t="shared" si="6"/>
        <v>0.15132040000000002</v>
      </c>
      <c r="J51" s="3">
        <f t="shared" si="5"/>
        <v>0.202404743</v>
      </c>
      <c r="K51" s="4">
        <f t="shared" si="3"/>
        <v>1.3493649533333334</v>
      </c>
      <c r="L51" s="4">
        <f t="shared" si="4"/>
        <v>2.8571428571428572</v>
      </c>
    </row>
    <row r="52" spans="1:12" x14ac:dyDescent="0.25">
      <c r="A52" s="1">
        <v>3</v>
      </c>
      <c r="B52" s="1">
        <v>4</v>
      </c>
      <c r="C52" s="1" t="s">
        <v>55</v>
      </c>
      <c r="D52" s="1" t="s">
        <v>58</v>
      </c>
      <c r="E52" s="1" t="s">
        <v>53</v>
      </c>
      <c r="F52" s="1">
        <v>16</v>
      </c>
      <c r="G52">
        <v>6</v>
      </c>
      <c r="H52" s="3">
        <f t="shared" si="1"/>
        <v>2.0106240000000001E-2</v>
      </c>
      <c r="I52" s="4">
        <f t="shared" si="6"/>
        <v>0.13404160000000001</v>
      </c>
      <c r="J52" s="3">
        <f t="shared" si="5"/>
        <v>0.17975973000000001</v>
      </c>
      <c r="K52" s="4">
        <f t="shared" si="3"/>
        <v>1.1983982000000002</v>
      </c>
      <c r="L52" s="4">
        <f t="shared" si="4"/>
        <v>2.8571428571428572</v>
      </c>
    </row>
    <row r="53" spans="1:12" x14ac:dyDescent="0.25">
      <c r="A53" s="1">
        <v>3</v>
      </c>
      <c r="B53" s="1">
        <v>5</v>
      </c>
      <c r="C53" s="1" t="s">
        <v>55</v>
      </c>
      <c r="D53" s="1" t="s">
        <v>58</v>
      </c>
      <c r="E53" s="1" t="s">
        <v>53</v>
      </c>
      <c r="F53" s="1">
        <v>14</v>
      </c>
      <c r="G53">
        <v>5</v>
      </c>
      <c r="H53" s="3">
        <f t="shared" si="1"/>
        <v>1.5393840000000002E-2</v>
      </c>
      <c r="I53" s="4">
        <f t="shared" si="6"/>
        <v>0.10262560000000003</v>
      </c>
      <c r="J53" s="3">
        <f t="shared" si="5"/>
        <v>0.153906286</v>
      </c>
      <c r="K53" s="4">
        <f t="shared" si="3"/>
        <v>1.0260419066666668</v>
      </c>
      <c r="L53" s="4">
        <f t="shared" si="4"/>
        <v>2.8571428571428572</v>
      </c>
    </row>
    <row r="54" spans="1:12" x14ac:dyDescent="0.25">
      <c r="A54" s="1">
        <v>3</v>
      </c>
      <c r="B54" s="1">
        <v>6</v>
      </c>
      <c r="C54" s="1" t="s">
        <v>55</v>
      </c>
      <c r="D54" s="1" t="s">
        <v>58</v>
      </c>
      <c r="E54" s="1" t="s">
        <v>53</v>
      </c>
      <c r="F54" s="1">
        <v>17</v>
      </c>
      <c r="G54">
        <v>7</v>
      </c>
      <c r="H54" s="3">
        <f t="shared" si="1"/>
        <v>2.2698060000000003E-2</v>
      </c>
      <c r="I54" s="4">
        <f t="shared" si="6"/>
        <v>0.15132040000000002</v>
      </c>
      <c r="J54" s="3">
        <f t="shared" si="5"/>
        <v>0.202404743</v>
      </c>
      <c r="K54" s="4">
        <f t="shared" si="3"/>
        <v>1.3493649533333334</v>
      </c>
      <c r="L54" s="4">
        <f t="shared" si="4"/>
        <v>2.8571428571428572</v>
      </c>
    </row>
    <row r="55" spans="1:12" x14ac:dyDescent="0.25">
      <c r="A55" s="1">
        <v>3</v>
      </c>
      <c r="B55" s="1">
        <v>7</v>
      </c>
      <c r="C55" s="1" t="s">
        <v>55</v>
      </c>
      <c r="D55" s="1" t="s">
        <v>58</v>
      </c>
      <c r="E55" s="1" t="s">
        <v>53</v>
      </c>
      <c r="F55" s="1">
        <v>14</v>
      </c>
      <c r="G55">
        <v>5</v>
      </c>
      <c r="H55" s="3">
        <f t="shared" si="1"/>
        <v>1.5393840000000002E-2</v>
      </c>
      <c r="I55" s="4">
        <f t="shared" si="6"/>
        <v>0.10262560000000003</v>
      </c>
      <c r="J55" s="3">
        <f t="shared" si="5"/>
        <v>0.153906286</v>
      </c>
      <c r="K55" s="4">
        <f t="shared" si="3"/>
        <v>1.0260419066666668</v>
      </c>
      <c r="L55" s="4">
        <f t="shared" si="4"/>
        <v>2.8571428571428572</v>
      </c>
    </row>
    <row r="56" spans="1:12" x14ac:dyDescent="0.25">
      <c r="A56" s="1">
        <v>3</v>
      </c>
      <c r="B56" s="1">
        <v>8</v>
      </c>
      <c r="C56" s="1" t="s">
        <v>55</v>
      </c>
      <c r="D56" s="1" t="s">
        <v>58</v>
      </c>
      <c r="E56" s="1" t="s">
        <v>53</v>
      </c>
      <c r="F56" s="1">
        <v>19</v>
      </c>
      <c r="G56">
        <v>8</v>
      </c>
      <c r="H56" s="3">
        <f t="shared" si="1"/>
        <v>2.835294E-2</v>
      </c>
      <c r="I56" s="4">
        <f t="shared" si="6"/>
        <v>0.18901960000000001</v>
      </c>
      <c r="J56" s="3">
        <f t="shared" si="5"/>
        <v>0.24262637800000003</v>
      </c>
      <c r="K56" s="4">
        <f t="shared" si="3"/>
        <v>1.6175091866666669</v>
      </c>
      <c r="L56" s="4">
        <f t="shared" si="4"/>
        <v>2.8571428571428572</v>
      </c>
    </row>
    <row r="57" spans="1:12" x14ac:dyDescent="0.25">
      <c r="A57" s="1">
        <v>3</v>
      </c>
      <c r="B57" s="1">
        <v>9</v>
      </c>
      <c r="C57" s="1" t="s">
        <v>55</v>
      </c>
      <c r="D57" s="1" t="s">
        <v>58</v>
      </c>
      <c r="E57" s="1" t="s">
        <v>54</v>
      </c>
      <c r="F57" s="1">
        <v>20</v>
      </c>
      <c r="G57">
        <v>10</v>
      </c>
      <c r="H57" s="3">
        <f t="shared" si="1"/>
        <v>3.1416000000000006E-2</v>
      </c>
      <c r="I57" s="4">
        <f t="shared" si="6"/>
        <v>0.20944000000000004</v>
      </c>
      <c r="J57" s="3">
        <f t="shared" si="5"/>
        <v>0.29433326600000004</v>
      </c>
      <c r="K57" s="4">
        <f t="shared" si="3"/>
        <v>1.9622217733333336</v>
      </c>
      <c r="L57" s="4">
        <f t="shared" si="4"/>
        <v>2.8571428571428572</v>
      </c>
    </row>
    <row r="58" spans="1:12" x14ac:dyDescent="0.25">
      <c r="A58" s="1">
        <v>3</v>
      </c>
      <c r="B58" s="1">
        <v>10</v>
      </c>
      <c r="C58" s="1" t="s">
        <v>55</v>
      </c>
      <c r="D58" s="1" t="s">
        <v>58</v>
      </c>
      <c r="E58" s="1" t="s">
        <v>53</v>
      </c>
      <c r="F58" s="1">
        <v>18</v>
      </c>
      <c r="G58">
        <v>6</v>
      </c>
      <c r="H58" s="3">
        <f t="shared" si="1"/>
        <v>2.5446959999999998E-2</v>
      </c>
      <c r="I58" s="4">
        <f t="shared" si="6"/>
        <v>0.1696464</v>
      </c>
      <c r="J58" s="3">
        <f t="shared" si="5"/>
        <v>0.19873132199999999</v>
      </c>
      <c r="K58" s="4">
        <f t="shared" si="3"/>
        <v>1.32487548</v>
      </c>
      <c r="L58" s="4">
        <f t="shared" si="4"/>
        <v>2.8571428571428572</v>
      </c>
    </row>
    <row r="59" spans="1:12" x14ac:dyDescent="0.25">
      <c r="A59" s="1">
        <v>3</v>
      </c>
      <c r="B59" s="1">
        <v>11</v>
      </c>
      <c r="C59" s="1" t="s">
        <v>55</v>
      </c>
      <c r="D59" s="1" t="s">
        <v>58</v>
      </c>
      <c r="E59" s="1" t="s">
        <v>53</v>
      </c>
      <c r="F59" s="1">
        <v>16</v>
      </c>
      <c r="G59">
        <v>6</v>
      </c>
      <c r="H59" s="3">
        <f t="shared" si="1"/>
        <v>2.0106240000000001E-2</v>
      </c>
      <c r="I59" s="4">
        <f t="shared" si="6"/>
        <v>0.13404160000000001</v>
      </c>
      <c r="J59" s="3">
        <f t="shared" si="5"/>
        <v>0.17975973000000001</v>
      </c>
      <c r="K59" s="4">
        <f t="shared" si="3"/>
        <v>1.1983982000000002</v>
      </c>
      <c r="L59" s="4">
        <f t="shared" si="4"/>
        <v>2.8571428571428572</v>
      </c>
    </row>
    <row r="60" spans="1:12" x14ac:dyDescent="0.25">
      <c r="A60" s="1">
        <v>3</v>
      </c>
      <c r="B60" s="1">
        <v>12</v>
      </c>
      <c r="C60" s="1" t="s">
        <v>52</v>
      </c>
      <c r="D60" s="1" t="s">
        <v>57</v>
      </c>
      <c r="E60" s="1" t="s">
        <v>53</v>
      </c>
      <c r="F60" s="1">
        <v>18</v>
      </c>
      <c r="G60">
        <v>9</v>
      </c>
      <c r="H60" s="3">
        <f t="shared" si="1"/>
        <v>2.5446959999999998E-2</v>
      </c>
      <c r="I60" s="4">
        <f t="shared" si="6"/>
        <v>0.1696464</v>
      </c>
      <c r="J60" s="3">
        <f t="shared" ref="J60:J64" si="7">(0.0050811768+0.0000286052*(F60^2*G60))</f>
        <v>8.8493939999999993E-2</v>
      </c>
      <c r="K60" s="4">
        <f t="shared" si="3"/>
        <v>0.58995960000000003</v>
      </c>
      <c r="L60" s="4">
        <f t="shared" si="4"/>
        <v>2.8571428571428572</v>
      </c>
    </row>
    <row r="61" spans="1:12" x14ac:dyDescent="0.25">
      <c r="A61" s="1">
        <v>3</v>
      </c>
      <c r="B61" s="1">
        <v>13</v>
      </c>
      <c r="C61" s="1" t="s">
        <v>52</v>
      </c>
      <c r="D61" s="1" t="s">
        <v>57</v>
      </c>
      <c r="E61" s="1" t="s">
        <v>54</v>
      </c>
      <c r="F61" s="1">
        <v>20</v>
      </c>
      <c r="G61">
        <v>7</v>
      </c>
      <c r="H61" s="3">
        <f t="shared" si="1"/>
        <v>3.1416000000000006E-2</v>
      </c>
      <c r="I61" s="4">
        <f t="shared" si="6"/>
        <v>0.20944000000000004</v>
      </c>
      <c r="J61" s="3">
        <f t="shared" si="7"/>
        <v>8.5175736799999999E-2</v>
      </c>
      <c r="K61" s="4">
        <f t="shared" si="3"/>
        <v>0.56783824533333338</v>
      </c>
      <c r="L61" s="4">
        <f t="shared" si="4"/>
        <v>2.8571428571428572</v>
      </c>
    </row>
    <row r="62" spans="1:12" x14ac:dyDescent="0.25">
      <c r="A62" s="1">
        <v>3</v>
      </c>
      <c r="B62" s="1">
        <v>14</v>
      </c>
      <c r="C62" s="1" t="s">
        <v>52</v>
      </c>
      <c r="D62" s="1" t="s">
        <v>57</v>
      </c>
      <c r="E62" s="1" t="s">
        <v>53</v>
      </c>
      <c r="F62" s="1">
        <v>17</v>
      </c>
      <c r="G62">
        <v>6</v>
      </c>
      <c r="H62" s="3">
        <f t="shared" si="1"/>
        <v>2.2698060000000003E-2</v>
      </c>
      <c r="I62" s="4">
        <f t="shared" si="6"/>
        <v>0.15132040000000002</v>
      </c>
      <c r="J62" s="3">
        <f t="shared" si="7"/>
        <v>5.4682593599999996E-2</v>
      </c>
      <c r="K62" s="4">
        <f t="shared" si="3"/>
        <v>0.36455062399999999</v>
      </c>
      <c r="L62" s="4">
        <f t="shared" si="4"/>
        <v>2.8571428571428572</v>
      </c>
    </row>
    <row r="63" spans="1:12" x14ac:dyDescent="0.25">
      <c r="A63" s="1">
        <v>3</v>
      </c>
      <c r="B63" s="1">
        <v>15</v>
      </c>
      <c r="C63" s="1" t="s">
        <v>52</v>
      </c>
      <c r="D63" s="1" t="s">
        <v>57</v>
      </c>
      <c r="E63" s="1" t="s">
        <v>53</v>
      </c>
      <c r="F63" s="1">
        <v>14</v>
      </c>
      <c r="G63">
        <v>5</v>
      </c>
      <c r="H63" s="3">
        <f t="shared" si="1"/>
        <v>1.5393840000000002E-2</v>
      </c>
      <c r="I63" s="4">
        <f t="shared" si="6"/>
        <v>0.10262560000000003</v>
      </c>
      <c r="J63" s="3">
        <f t="shared" si="7"/>
        <v>3.3114272799999997E-2</v>
      </c>
      <c r="K63" s="4">
        <f t="shared" si="3"/>
        <v>0.22076181866666666</v>
      </c>
      <c r="L63" s="4">
        <f t="shared" si="4"/>
        <v>2.8571428571428572</v>
      </c>
    </row>
    <row r="64" spans="1:12" x14ac:dyDescent="0.25">
      <c r="A64" s="1">
        <v>3</v>
      </c>
      <c r="B64" s="1">
        <v>16</v>
      </c>
      <c r="C64" s="1" t="s">
        <v>52</v>
      </c>
      <c r="D64" s="1" t="s">
        <v>57</v>
      </c>
      <c r="E64" s="1" t="s">
        <v>53</v>
      </c>
      <c r="F64" s="1">
        <v>19</v>
      </c>
      <c r="G64">
        <v>7</v>
      </c>
      <c r="H64" s="3">
        <f t="shared" si="1"/>
        <v>2.835294E-2</v>
      </c>
      <c r="I64" s="4">
        <f t="shared" si="6"/>
        <v>0.18901960000000001</v>
      </c>
      <c r="J64" s="3">
        <f t="shared" si="7"/>
        <v>7.7366517199999998E-2</v>
      </c>
      <c r="K64" s="4">
        <f t="shared" si="3"/>
        <v>0.51577678133333338</v>
      </c>
      <c r="L64" s="4">
        <f t="shared" si="4"/>
        <v>2.8571428571428572</v>
      </c>
    </row>
    <row r="65" spans="1:12" x14ac:dyDescent="0.25">
      <c r="A65" s="1">
        <v>3</v>
      </c>
      <c r="B65" s="1">
        <v>17</v>
      </c>
      <c r="C65" s="1" t="s">
        <v>60</v>
      </c>
      <c r="D65" s="1" t="s">
        <v>69</v>
      </c>
      <c r="E65" s="1" t="s">
        <v>66</v>
      </c>
      <c r="F65" s="1">
        <v>53</v>
      </c>
      <c r="G65">
        <v>10</v>
      </c>
      <c r="H65" s="3">
        <f t="shared" si="1"/>
        <v>0.22061886000000003</v>
      </c>
      <c r="I65" s="4">
        <f t="shared" si="6"/>
        <v>1.4707924000000003</v>
      </c>
      <c r="J65" s="3">
        <f t="shared" ref="J65:J71" si="8">(0.108337266+0.000046499*(F65^2*G65))</f>
        <v>1.414494176</v>
      </c>
      <c r="K65" s="4">
        <f t="shared" si="3"/>
        <v>9.4299611733333339</v>
      </c>
      <c r="L65" s="4">
        <f t="shared" si="4"/>
        <v>2.8571428571428572</v>
      </c>
    </row>
    <row r="66" spans="1:12" x14ac:dyDescent="0.25">
      <c r="A66" s="1">
        <v>3</v>
      </c>
      <c r="B66" s="1">
        <v>18</v>
      </c>
      <c r="C66" s="1" t="s">
        <v>55</v>
      </c>
      <c r="D66" s="1" t="s">
        <v>58</v>
      </c>
      <c r="E66" s="1" t="s">
        <v>53</v>
      </c>
      <c r="F66" s="1">
        <v>17</v>
      </c>
      <c r="G66">
        <v>7</v>
      </c>
      <c r="H66" s="3">
        <f t="shared" si="1"/>
        <v>2.2698060000000003E-2</v>
      </c>
      <c r="I66" s="4">
        <f t="shared" si="6"/>
        <v>0.15132040000000002</v>
      </c>
      <c r="J66" s="3">
        <f t="shared" si="8"/>
        <v>0.202404743</v>
      </c>
      <c r="K66" s="4">
        <f t="shared" si="3"/>
        <v>1.3493649533333334</v>
      </c>
      <c r="L66" s="4">
        <f t="shared" si="4"/>
        <v>2.8571428571428572</v>
      </c>
    </row>
    <row r="67" spans="1:12" x14ac:dyDescent="0.25">
      <c r="A67" s="1">
        <v>3</v>
      </c>
      <c r="B67" s="1">
        <v>19</v>
      </c>
      <c r="C67" s="1" t="s">
        <v>55</v>
      </c>
      <c r="D67" s="1" t="s">
        <v>58</v>
      </c>
      <c r="E67" s="1" t="s">
        <v>53</v>
      </c>
      <c r="F67" s="1">
        <v>18</v>
      </c>
      <c r="G67">
        <v>7</v>
      </c>
      <c r="H67" s="3">
        <f t="shared" si="1"/>
        <v>2.5446959999999998E-2</v>
      </c>
      <c r="I67" s="4">
        <f t="shared" si="6"/>
        <v>0.1696464</v>
      </c>
      <c r="J67" s="3">
        <f t="shared" si="8"/>
        <v>0.21379699800000002</v>
      </c>
      <c r="K67" s="4">
        <f t="shared" si="3"/>
        <v>1.4253133200000001</v>
      </c>
      <c r="L67" s="4">
        <f t="shared" si="4"/>
        <v>2.8571428571428572</v>
      </c>
    </row>
    <row r="68" spans="1:12" x14ac:dyDescent="0.25">
      <c r="A68" s="1">
        <v>3</v>
      </c>
      <c r="B68" s="1">
        <v>20</v>
      </c>
      <c r="C68" s="1" t="s">
        <v>55</v>
      </c>
      <c r="D68" s="1" t="s">
        <v>58</v>
      </c>
      <c r="E68" s="1" t="s">
        <v>53</v>
      </c>
      <c r="F68" s="1">
        <v>13</v>
      </c>
      <c r="G68">
        <v>5</v>
      </c>
      <c r="H68" s="3">
        <f t="shared" si="1"/>
        <v>1.3273260000000002E-2</v>
      </c>
      <c r="I68" s="4">
        <f t="shared" si="6"/>
        <v>8.8488400000000023E-2</v>
      </c>
      <c r="J68" s="3">
        <f t="shared" si="8"/>
        <v>0.147628921</v>
      </c>
      <c r="K68" s="4">
        <f t="shared" si="3"/>
        <v>0.98419280666666664</v>
      </c>
      <c r="L68" s="4">
        <f t="shared" si="4"/>
        <v>2.8571428571428572</v>
      </c>
    </row>
    <row r="69" spans="1:12" x14ac:dyDescent="0.25">
      <c r="A69" s="1">
        <v>3</v>
      </c>
      <c r="B69" s="1">
        <v>21</v>
      </c>
      <c r="C69" s="1" t="s">
        <v>55</v>
      </c>
      <c r="D69" s="1" t="s">
        <v>58</v>
      </c>
      <c r="E69" s="1" t="s">
        <v>53</v>
      </c>
      <c r="F69" s="1">
        <v>18</v>
      </c>
      <c r="G69">
        <v>6</v>
      </c>
      <c r="H69" s="3">
        <f t="shared" si="1"/>
        <v>2.5446959999999998E-2</v>
      </c>
      <c r="I69" s="4">
        <f t="shared" si="6"/>
        <v>0.1696464</v>
      </c>
      <c r="J69" s="3">
        <f t="shared" si="8"/>
        <v>0.19873132199999999</v>
      </c>
      <c r="K69" s="4">
        <f t="shared" si="3"/>
        <v>1.32487548</v>
      </c>
      <c r="L69" s="4">
        <f t="shared" ref="L69:L127" si="9">1*1/0.35</f>
        <v>2.8571428571428572</v>
      </c>
    </row>
    <row r="70" spans="1:12" s="1" customFormat="1" x14ac:dyDescent="0.25">
      <c r="A70" s="1">
        <v>3</v>
      </c>
      <c r="B70" s="1">
        <v>22</v>
      </c>
      <c r="C70" s="1" t="s">
        <v>55</v>
      </c>
      <c r="D70" s="1" t="s">
        <v>58</v>
      </c>
      <c r="E70" s="1" t="s">
        <v>53</v>
      </c>
      <c r="F70" s="1">
        <v>14</v>
      </c>
      <c r="G70" s="1">
        <v>5</v>
      </c>
      <c r="H70" s="3">
        <f t="shared" si="1"/>
        <v>1.5393840000000002E-2</v>
      </c>
      <c r="I70" s="4">
        <f t="shared" si="6"/>
        <v>0.10262560000000003</v>
      </c>
      <c r="J70" s="3">
        <f t="shared" si="8"/>
        <v>0.153906286</v>
      </c>
      <c r="K70" s="4">
        <f t="shared" si="3"/>
        <v>1.0260419066666668</v>
      </c>
      <c r="L70" s="4">
        <f t="shared" si="9"/>
        <v>2.8571428571428572</v>
      </c>
    </row>
    <row r="71" spans="1:12" x14ac:dyDescent="0.25">
      <c r="A71">
        <v>4</v>
      </c>
      <c r="B71">
        <v>1</v>
      </c>
      <c r="C71" s="1" t="s">
        <v>55</v>
      </c>
      <c r="D71" s="1" t="s">
        <v>58</v>
      </c>
      <c r="E71" s="1" t="s">
        <v>54</v>
      </c>
      <c r="F71">
        <v>20</v>
      </c>
      <c r="G71">
        <v>8</v>
      </c>
      <c r="H71" s="3">
        <f t="shared" si="1"/>
        <v>3.1416000000000006E-2</v>
      </c>
      <c r="I71" s="61">
        <f t="shared" si="6"/>
        <v>0.20944000000000004</v>
      </c>
      <c r="J71" s="3">
        <f t="shared" si="8"/>
        <v>0.25713406599999999</v>
      </c>
      <c r="K71" s="61">
        <f t="shared" si="3"/>
        <v>1.7142271066666668</v>
      </c>
      <c r="L71" s="4">
        <f t="shared" si="9"/>
        <v>2.8571428571428572</v>
      </c>
    </row>
    <row r="72" spans="1:12" x14ac:dyDescent="0.25">
      <c r="A72">
        <v>4</v>
      </c>
      <c r="B72">
        <v>2</v>
      </c>
      <c r="C72" s="1" t="s">
        <v>70</v>
      </c>
      <c r="D72" s="1" t="s">
        <v>63</v>
      </c>
      <c r="E72" s="1" t="s">
        <v>53</v>
      </c>
      <c r="F72">
        <v>19</v>
      </c>
      <c r="G72">
        <v>10</v>
      </c>
      <c r="H72" s="3">
        <f t="shared" si="1"/>
        <v>2.835294E-2</v>
      </c>
      <c r="I72" s="61">
        <f t="shared" si="6"/>
        <v>0.18901960000000001</v>
      </c>
      <c r="J72" s="3">
        <f>(0.0134651922+0.0000289134*(F72^2*G72))</f>
        <v>0.1178425662</v>
      </c>
      <c r="K72" s="61">
        <f t="shared" si="3"/>
        <v>0.78561710800000006</v>
      </c>
      <c r="L72" s="4">
        <f t="shared" si="9"/>
        <v>2.8571428571428572</v>
      </c>
    </row>
    <row r="73" spans="1:12" x14ac:dyDescent="0.25">
      <c r="A73">
        <v>4</v>
      </c>
      <c r="B73">
        <v>3</v>
      </c>
      <c r="C73" s="1" t="s">
        <v>70</v>
      </c>
      <c r="D73" s="1" t="s">
        <v>63</v>
      </c>
      <c r="E73" s="1" t="s">
        <v>53</v>
      </c>
      <c r="F73">
        <v>15</v>
      </c>
      <c r="G73">
        <v>8</v>
      </c>
      <c r="H73" s="3">
        <f t="shared" si="1"/>
        <v>1.76715E-2</v>
      </c>
      <c r="I73" s="61">
        <f t="shared" si="6"/>
        <v>0.11781</v>
      </c>
      <c r="J73" s="3">
        <f t="shared" ref="J73:J89" si="10">(0.0134651922+0.0000289134*(F73^2*G73))</f>
        <v>6.5509312200000003E-2</v>
      </c>
      <c r="K73" s="61">
        <f t="shared" si="3"/>
        <v>0.43672874800000006</v>
      </c>
      <c r="L73" s="4">
        <f t="shared" si="9"/>
        <v>2.8571428571428572</v>
      </c>
    </row>
    <row r="74" spans="1:12" x14ac:dyDescent="0.25">
      <c r="A74" s="1">
        <v>4</v>
      </c>
      <c r="B74">
        <v>4</v>
      </c>
      <c r="C74" s="1" t="s">
        <v>70</v>
      </c>
      <c r="D74" s="1" t="s">
        <v>63</v>
      </c>
      <c r="E74" s="1" t="s">
        <v>53</v>
      </c>
      <c r="F74">
        <v>12</v>
      </c>
      <c r="G74">
        <v>6</v>
      </c>
      <c r="H74" s="3">
        <f t="shared" si="1"/>
        <v>1.130976E-2</v>
      </c>
      <c r="I74" s="61">
        <f t="shared" si="6"/>
        <v>7.5398400000000004E-2</v>
      </c>
      <c r="J74" s="3">
        <f t="shared" si="10"/>
        <v>3.8446369800000005E-2</v>
      </c>
      <c r="K74" s="61">
        <f t="shared" si="3"/>
        <v>0.25630913200000005</v>
      </c>
      <c r="L74" s="4">
        <f t="shared" si="9"/>
        <v>2.8571428571428572</v>
      </c>
    </row>
    <row r="75" spans="1:12" x14ac:dyDescent="0.25">
      <c r="A75" s="1">
        <v>4</v>
      </c>
      <c r="B75">
        <v>5</v>
      </c>
      <c r="C75" s="1" t="s">
        <v>70</v>
      </c>
      <c r="D75" s="1" t="s">
        <v>63</v>
      </c>
      <c r="E75" s="1" t="s">
        <v>53</v>
      </c>
      <c r="F75">
        <v>10</v>
      </c>
      <c r="G75">
        <v>5</v>
      </c>
      <c r="H75" s="3">
        <f t="shared" si="1"/>
        <v>7.8540000000000016E-3</v>
      </c>
      <c r="I75" s="61">
        <f t="shared" si="6"/>
        <v>5.2360000000000011E-2</v>
      </c>
      <c r="J75" s="3">
        <f t="shared" si="10"/>
        <v>2.7921892199999999E-2</v>
      </c>
      <c r="K75" s="61">
        <f t="shared" si="3"/>
        <v>0.18614594800000001</v>
      </c>
      <c r="L75" s="4">
        <f t="shared" si="9"/>
        <v>2.8571428571428572</v>
      </c>
    </row>
    <row r="76" spans="1:12" x14ac:dyDescent="0.25">
      <c r="A76" s="1">
        <v>4</v>
      </c>
      <c r="B76" s="1">
        <v>6</v>
      </c>
      <c r="C76" s="1" t="s">
        <v>70</v>
      </c>
      <c r="D76" s="1" t="s">
        <v>63</v>
      </c>
      <c r="E76" s="1" t="s">
        <v>53</v>
      </c>
      <c r="F76">
        <v>10</v>
      </c>
      <c r="G76">
        <v>5</v>
      </c>
      <c r="H76" s="3">
        <f t="shared" si="1"/>
        <v>7.8540000000000016E-3</v>
      </c>
      <c r="I76" s="61">
        <f t="shared" si="6"/>
        <v>5.2360000000000011E-2</v>
      </c>
      <c r="J76" s="3">
        <f t="shared" si="10"/>
        <v>2.7921892199999999E-2</v>
      </c>
      <c r="K76" s="61">
        <f t="shared" si="3"/>
        <v>0.18614594800000001</v>
      </c>
      <c r="L76" s="4">
        <f t="shared" si="9"/>
        <v>2.8571428571428572</v>
      </c>
    </row>
    <row r="77" spans="1:12" x14ac:dyDescent="0.25">
      <c r="A77" s="1">
        <v>4</v>
      </c>
      <c r="B77" s="1">
        <v>7</v>
      </c>
      <c r="C77" s="1" t="s">
        <v>70</v>
      </c>
      <c r="D77" s="1" t="s">
        <v>63</v>
      </c>
      <c r="E77" s="1" t="s">
        <v>53</v>
      </c>
      <c r="F77">
        <v>12</v>
      </c>
      <c r="G77">
        <v>5</v>
      </c>
      <c r="H77" s="3">
        <f t="shared" si="1"/>
        <v>1.130976E-2</v>
      </c>
      <c r="I77" s="61">
        <f t="shared" si="6"/>
        <v>7.5398400000000004E-2</v>
      </c>
      <c r="J77" s="3">
        <f t="shared" si="10"/>
        <v>3.4282840199999998E-2</v>
      </c>
      <c r="K77" s="61">
        <f t="shared" si="3"/>
        <v>0.228552268</v>
      </c>
      <c r="L77" s="4">
        <f t="shared" si="9"/>
        <v>2.8571428571428572</v>
      </c>
    </row>
    <row r="78" spans="1:12" x14ac:dyDescent="0.25">
      <c r="A78" s="1">
        <v>4</v>
      </c>
      <c r="B78" s="1">
        <v>8</v>
      </c>
      <c r="C78" s="1" t="s">
        <v>70</v>
      </c>
      <c r="D78" s="1" t="s">
        <v>63</v>
      </c>
      <c r="E78" s="1" t="s">
        <v>53</v>
      </c>
      <c r="F78">
        <v>10</v>
      </c>
      <c r="G78">
        <v>5</v>
      </c>
      <c r="H78" s="3">
        <f t="shared" si="1"/>
        <v>7.8540000000000016E-3</v>
      </c>
      <c r="I78" s="61">
        <f t="shared" si="6"/>
        <v>5.2360000000000011E-2</v>
      </c>
      <c r="J78" s="3">
        <f t="shared" si="10"/>
        <v>2.7921892199999999E-2</v>
      </c>
      <c r="K78" s="61">
        <f t="shared" si="3"/>
        <v>0.18614594800000001</v>
      </c>
      <c r="L78" s="4">
        <f t="shared" si="9"/>
        <v>2.8571428571428572</v>
      </c>
    </row>
    <row r="79" spans="1:12" x14ac:dyDescent="0.25">
      <c r="A79" s="1">
        <v>4</v>
      </c>
      <c r="B79" s="1">
        <v>9</v>
      </c>
      <c r="C79" s="1" t="s">
        <v>70</v>
      </c>
      <c r="D79" s="1" t="s">
        <v>63</v>
      </c>
      <c r="E79" s="1" t="s">
        <v>53</v>
      </c>
      <c r="F79">
        <v>14</v>
      </c>
      <c r="G79">
        <v>7</v>
      </c>
      <c r="H79" s="3">
        <f t="shared" si="1"/>
        <v>1.5393840000000002E-2</v>
      </c>
      <c r="I79" s="61">
        <f t="shared" si="6"/>
        <v>0.10262560000000003</v>
      </c>
      <c r="J79" s="3">
        <f t="shared" si="10"/>
        <v>5.3134376999999997E-2</v>
      </c>
      <c r="K79" s="61">
        <f t="shared" si="3"/>
        <v>0.35422917999999998</v>
      </c>
      <c r="L79" s="4">
        <f t="shared" si="9"/>
        <v>2.8571428571428572</v>
      </c>
    </row>
    <row r="80" spans="1:12" x14ac:dyDescent="0.25">
      <c r="A80" s="1">
        <v>4</v>
      </c>
      <c r="B80" s="1">
        <v>10</v>
      </c>
      <c r="C80" s="1" t="s">
        <v>70</v>
      </c>
      <c r="D80" s="1" t="s">
        <v>63</v>
      </c>
      <c r="E80" s="1" t="s">
        <v>53</v>
      </c>
      <c r="F80">
        <v>17</v>
      </c>
      <c r="G80">
        <v>8</v>
      </c>
      <c r="H80" s="3">
        <f t="shared" si="1"/>
        <v>2.2698060000000003E-2</v>
      </c>
      <c r="I80" s="61">
        <f t="shared" si="6"/>
        <v>0.15132040000000002</v>
      </c>
      <c r="J80" s="3">
        <f t="shared" si="10"/>
        <v>8.031297300000001E-2</v>
      </c>
      <c r="K80" s="61">
        <f t="shared" si="3"/>
        <v>0.5354198200000001</v>
      </c>
      <c r="L80" s="4">
        <f t="shared" si="9"/>
        <v>2.8571428571428572</v>
      </c>
    </row>
    <row r="81" spans="1:12" x14ac:dyDescent="0.25">
      <c r="A81" s="1">
        <v>4</v>
      </c>
      <c r="B81" s="1">
        <v>11</v>
      </c>
      <c r="C81" s="1" t="s">
        <v>70</v>
      </c>
      <c r="D81" s="1" t="s">
        <v>63</v>
      </c>
      <c r="E81" s="1" t="s">
        <v>53</v>
      </c>
      <c r="F81">
        <v>15</v>
      </c>
      <c r="G81">
        <v>7</v>
      </c>
      <c r="H81" s="3">
        <f t="shared" si="1"/>
        <v>1.76715E-2</v>
      </c>
      <c r="I81" s="61">
        <f t="shared" si="6"/>
        <v>0.11781</v>
      </c>
      <c r="J81" s="3">
        <f t="shared" si="10"/>
        <v>5.9003797199999999E-2</v>
      </c>
      <c r="K81" s="61">
        <f t="shared" si="3"/>
        <v>0.39335864800000003</v>
      </c>
      <c r="L81" s="4">
        <f t="shared" si="9"/>
        <v>2.8571428571428572</v>
      </c>
    </row>
    <row r="82" spans="1:12" x14ac:dyDescent="0.25">
      <c r="A82" s="1">
        <v>4</v>
      </c>
      <c r="B82" s="1">
        <v>12</v>
      </c>
      <c r="C82" s="1" t="s">
        <v>70</v>
      </c>
      <c r="D82" s="1" t="s">
        <v>63</v>
      </c>
      <c r="E82" s="1" t="s">
        <v>53</v>
      </c>
      <c r="F82">
        <v>18</v>
      </c>
      <c r="G82">
        <v>8</v>
      </c>
      <c r="H82" s="3">
        <f t="shared" si="1"/>
        <v>2.5446959999999998E-2</v>
      </c>
      <c r="I82" s="61">
        <f t="shared" si="6"/>
        <v>0.1696464</v>
      </c>
      <c r="J82" s="3">
        <f t="shared" si="10"/>
        <v>8.8408725000000007E-2</v>
      </c>
      <c r="K82" s="61">
        <f t="shared" si="3"/>
        <v>0.58939150000000007</v>
      </c>
      <c r="L82" s="4">
        <f t="shared" si="9"/>
        <v>2.8571428571428572</v>
      </c>
    </row>
    <row r="83" spans="1:12" x14ac:dyDescent="0.25">
      <c r="A83" s="1">
        <v>4</v>
      </c>
      <c r="B83" s="1">
        <v>13</v>
      </c>
      <c r="C83" s="1" t="s">
        <v>70</v>
      </c>
      <c r="D83" s="1" t="s">
        <v>63</v>
      </c>
      <c r="E83" s="1" t="s">
        <v>53</v>
      </c>
      <c r="F83">
        <v>19</v>
      </c>
      <c r="G83">
        <v>9</v>
      </c>
      <c r="H83" s="3">
        <f t="shared" si="1"/>
        <v>2.835294E-2</v>
      </c>
      <c r="I83" s="61">
        <f t="shared" si="6"/>
        <v>0.18901960000000001</v>
      </c>
      <c r="J83" s="3">
        <f t="shared" si="10"/>
        <v>0.1074048288</v>
      </c>
      <c r="K83" s="61">
        <f t="shared" si="3"/>
        <v>0.71603219200000001</v>
      </c>
      <c r="L83" s="4">
        <f t="shared" si="9"/>
        <v>2.8571428571428572</v>
      </c>
    </row>
    <row r="84" spans="1:12" x14ac:dyDescent="0.25">
      <c r="A84" s="1">
        <v>4</v>
      </c>
      <c r="B84" s="1">
        <v>14</v>
      </c>
      <c r="C84" s="1" t="s">
        <v>70</v>
      </c>
      <c r="D84" s="1" t="s">
        <v>63</v>
      </c>
      <c r="E84" s="1" t="s">
        <v>53</v>
      </c>
      <c r="F84">
        <v>12</v>
      </c>
      <c r="G84">
        <v>5</v>
      </c>
      <c r="H84" s="3">
        <f t="shared" si="1"/>
        <v>1.130976E-2</v>
      </c>
      <c r="I84" s="61">
        <f t="shared" si="6"/>
        <v>7.5398400000000004E-2</v>
      </c>
      <c r="J84" s="3">
        <f t="shared" si="10"/>
        <v>3.4282840199999998E-2</v>
      </c>
      <c r="K84" s="61">
        <f t="shared" si="3"/>
        <v>0.228552268</v>
      </c>
      <c r="L84" s="4">
        <f t="shared" si="9"/>
        <v>2.8571428571428572</v>
      </c>
    </row>
    <row r="85" spans="1:12" x14ac:dyDescent="0.25">
      <c r="A85" s="1">
        <v>4</v>
      </c>
      <c r="B85" s="1">
        <v>15</v>
      </c>
      <c r="C85" s="1" t="s">
        <v>70</v>
      </c>
      <c r="D85" s="1" t="s">
        <v>63</v>
      </c>
      <c r="E85" s="1" t="s">
        <v>53</v>
      </c>
      <c r="F85">
        <v>17</v>
      </c>
      <c r="G85">
        <v>7</v>
      </c>
      <c r="H85" s="3">
        <f t="shared" si="1"/>
        <v>2.2698060000000003E-2</v>
      </c>
      <c r="I85" s="61">
        <f t="shared" si="6"/>
        <v>0.15132040000000002</v>
      </c>
      <c r="J85" s="3">
        <f t="shared" si="10"/>
        <v>7.1957000399999999E-2</v>
      </c>
      <c r="K85" s="61">
        <f t="shared" si="3"/>
        <v>0.47971333599999999</v>
      </c>
      <c r="L85" s="4">
        <f t="shared" si="9"/>
        <v>2.8571428571428572</v>
      </c>
    </row>
    <row r="86" spans="1:12" x14ac:dyDescent="0.25">
      <c r="A86" s="1">
        <v>4</v>
      </c>
      <c r="B86" s="1">
        <v>16</v>
      </c>
      <c r="C86" s="1" t="s">
        <v>70</v>
      </c>
      <c r="D86" s="1" t="s">
        <v>63</v>
      </c>
      <c r="E86" s="1" t="s">
        <v>53</v>
      </c>
      <c r="F86">
        <v>14</v>
      </c>
      <c r="G86">
        <v>6</v>
      </c>
      <c r="H86" s="3">
        <f t="shared" si="1"/>
        <v>1.5393840000000002E-2</v>
      </c>
      <c r="I86" s="61">
        <f t="shared" si="6"/>
        <v>0.10262560000000003</v>
      </c>
      <c r="J86" s="3">
        <f t="shared" si="10"/>
        <v>4.74673506E-2</v>
      </c>
      <c r="K86" s="61">
        <f t="shared" si="3"/>
        <v>0.31644900400000003</v>
      </c>
      <c r="L86" s="4">
        <f t="shared" si="9"/>
        <v>2.8571428571428572</v>
      </c>
    </row>
    <row r="87" spans="1:12" x14ac:dyDescent="0.25">
      <c r="A87" s="1">
        <v>4</v>
      </c>
      <c r="B87" s="1">
        <v>17</v>
      </c>
      <c r="C87" s="1" t="s">
        <v>70</v>
      </c>
      <c r="D87" s="1" t="s">
        <v>63</v>
      </c>
      <c r="E87" s="1" t="s">
        <v>53</v>
      </c>
      <c r="F87">
        <v>16</v>
      </c>
      <c r="G87">
        <v>7</v>
      </c>
      <c r="H87" s="3">
        <f t="shared" si="1"/>
        <v>2.0106240000000001E-2</v>
      </c>
      <c r="I87" s="61">
        <f t="shared" si="6"/>
        <v>0.13404160000000001</v>
      </c>
      <c r="J87" s="3">
        <f t="shared" si="10"/>
        <v>6.5278005E-2</v>
      </c>
      <c r="K87" s="61">
        <f t="shared" si="3"/>
        <v>0.43518670000000004</v>
      </c>
      <c r="L87" s="4">
        <f t="shared" si="9"/>
        <v>2.8571428571428572</v>
      </c>
    </row>
    <row r="88" spans="1:12" x14ac:dyDescent="0.25">
      <c r="A88" s="1">
        <v>4</v>
      </c>
      <c r="B88" s="1">
        <v>18</v>
      </c>
      <c r="C88" s="1" t="s">
        <v>70</v>
      </c>
      <c r="D88" s="1" t="s">
        <v>63</v>
      </c>
      <c r="E88" s="1" t="s">
        <v>53</v>
      </c>
      <c r="F88">
        <v>17</v>
      </c>
      <c r="G88">
        <v>7</v>
      </c>
      <c r="H88" s="3">
        <f t="shared" si="1"/>
        <v>2.2698060000000003E-2</v>
      </c>
      <c r="I88" s="61">
        <f t="shared" si="6"/>
        <v>0.15132040000000002</v>
      </c>
      <c r="J88" s="3">
        <f t="shared" si="10"/>
        <v>7.1957000399999999E-2</v>
      </c>
      <c r="K88" s="61">
        <f t="shared" si="3"/>
        <v>0.47971333599999999</v>
      </c>
      <c r="L88" s="4">
        <f t="shared" si="9"/>
        <v>2.8571428571428572</v>
      </c>
    </row>
    <row r="89" spans="1:12" x14ac:dyDescent="0.25">
      <c r="A89" s="1">
        <v>4</v>
      </c>
      <c r="B89" s="1">
        <v>19</v>
      </c>
      <c r="C89" s="1" t="s">
        <v>70</v>
      </c>
      <c r="D89" s="1" t="s">
        <v>63</v>
      </c>
      <c r="E89" s="1" t="s">
        <v>53</v>
      </c>
      <c r="F89">
        <v>12</v>
      </c>
      <c r="G89">
        <v>5</v>
      </c>
      <c r="H89" s="3">
        <f t="shared" si="1"/>
        <v>1.130976E-2</v>
      </c>
      <c r="I89" s="61">
        <f t="shared" si="6"/>
        <v>7.5398400000000004E-2</v>
      </c>
      <c r="J89" s="3">
        <f t="shared" si="10"/>
        <v>3.4282840199999998E-2</v>
      </c>
      <c r="K89" s="61">
        <f t="shared" si="3"/>
        <v>0.228552268</v>
      </c>
      <c r="L89" s="4">
        <f t="shared" si="9"/>
        <v>2.8571428571428572</v>
      </c>
    </row>
    <row r="90" spans="1:12" x14ac:dyDescent="0.25">
      <c r="A90" s="1">
        <v>4</v>
      </c>
      <c r="B90" s="1">
        <v>20</v>
      </c>
      <c r="C90" s="1" t="s">
        <v>60</v>
      </c>
      <c r="D90" s="1" t="s">
        <v>69</v>
      </c>
      <c r="E90" s="1" t="s">
        <v>67</v>
      </c>
      <c r="F90">
        <v>66</v>
      </c>
      <c r="G90">
        <v>18</v>
      </c>
      <c r="H90" s="3">
        <f t="shared" si="1"/>
        <v>0.34212024000000002</v>
      </c>
      <c r="I90" s="61">
        <f t="shared" si="6"/>
        <v>2.2808016000000002</v>
      </c>
      <c r="J90" s="3">
        <f>(0.108337266+0.000046499*(F90^2*G90))</f>
        <v>3.7542308580000001</v>
      </c>
      <c r="K90" s="61">
        <f t="shared" si="3"/>
        <v>25.028205720000003</v>
      </c>
      <c r="L90" s="4">
        <f t="shared" si="9"/>
        <v>2.8571428571428572</v>
      </c>
    </row>
    <row r="91" spans="1:12" x14ac:dyDescent="0.25">
      <c r="A91" s="1">
        <v>4</v>
      </c>
      <c r="B91" s="1">
        <v>21</v>
      </c>
      <c r="C91" s="1" t="s">
        <v>70</v>
      </c>
      <c r="D91" s="1" t="s">
        <v>63</v>
      </c>
      <c r="E91" s="1" t="s">
        <v>53</v>
      </c>
      <c r="F91">
        <v>12</v>
      </c>
      <c r="G91">
        <v>5</v>
      </c>
      <c r="H91" s="3">
        <f t="shared" si="1"/>
        <v>1.130976E-2</v>
      </c>
      <c r="I91" s="61">
        <f t="shared" si="6"/>
        <v>7.5398400000000004E-2</v>
      </c>
      <c r="J91" s="3">
        <f t="shared" ref="J91:J92" si="11">(0.0134651922+0.0000289134*(F91^2*G91))</f>
        <v>3.4282840199999998E-2</v>
      </c>
      <c r="K91" s="61">
        <f t="shared" si="3"/>
        <v>0.228552268</v>
      </c>
      <c r="L91" s="4">
        <f t="shared" si="9"/>
        <v>2.8571428571428572</v>
      </c>
    </row>
    <row r="92" spans="1:12" x14ac:dyDescent="0.25">
      <c r="A92" s="1">
        <v>4</v>
      </c>
      <c r="B92" s="1">
        <v>22</v>
      </c>
      <c r="C92" s="1" t="s">
        <v>70</v>
      </c>
      <c r="D92" s="1" t="s">
        <v>63</v>
      </c>
      <c r="E92" s="1" t="s">
        <v>53</v>
      </c>
      <c r="F92">
        <v>10</v>
      </c>
      <c r="G92">
        <v>5</v>
      </c>
      <c r="H92" s="3">
        <f t="shared" si="1"/>
        <v>7.8540000000000016E-3</v>
      </c>
      <c r="I92" s="61">
        <f t="shared" si="6"/>
        <v>5.2360000000000011E-2</v>
      </c>
      <c r="J92" s="3">
        <f t="shared" si="11"/>
        <v>2.7921892199999999E-2</v>
      </c>
      <c r="K92" s="61">
        <f t="shared" si="3"/>
        <v>0.18614594800000001</v>
      </c>
      <c r="L92" s="4">
        <f t="shared" si="9"/>
        <v>2.8571428571428572</v>
      </c>
    </row>
    <row r="93" spans="1:12" x14ac:dyDescent="0.25">
      <c r="A93" s="1">
        <v>4</v>
      </c>
      <c r="B93" s="1">
        <v>23</v>
      </c>
      <c r="C93" s="1" t="s">
        <v>55</v>
      </c>
      <c r="D93" s="1" t="s">
        <v>58</v>
      </c>
      <c r="E93" s="1" t="s">
        <v>53</v>
      </c>
      <c r="F93">
        <v>16</v>
      </c>
      <c r="G93">
        <v>6</v>
      </c>
      <c r="H93" s="3">
        <f t="shared" si="1"/>
        <v>2.0106240000000001E-2</v>
      </c>
      <c r="I93" s="61">
        <f t="shared" si="6"/>
        <v>0.13404160000000001</v>
      </c>
      <c r="J93" s="3">
        <f t="shared" ref="J93:J120" si="12">(0.108337266+0.000046499*(F93^2*G93))</f>
        <v>0.17975973000000001</v>
      </c>
      <c r="K93" s="61">
        <f t="shared" si="3"/>
        <v>1.1983982000000002</v>
      </c>
      <c r="L93" s="4">
        <f t="shared" si="9"/>
        <v>2.8571428571428572</v>
      </c>
    </row>
    <row r="94" spans="1:12" x14ac:dyDescent="0.25">
      <c r="A94" s="1">
        <v>4</v>
      </c>
      <c r="B94" s="1">
        <v>24</v>
      </c>
      <c r="C94" s="1" t="s">
        <v>55</v>
      </c>
      <c r="D94" s="1" t="s">
        <v>58</v>
      </c>
      <c r="E94" s="1" t="s">
        <v>53</v>
      </c>
      <c r="F94">
        <v>18</v>
      </c>
      <c r="G94">
        <v>7</v>
      </c>
      <c r="H94" s="3">
        <f t="shared" si="1"/>
        <v>2.5446959999999998E-2</v>
      </c>
      <c r="I94" s="61">
        <f t="shared" si="6"/>
        <v>0.1696464</v>
      </c>
      <c r="J94" s="3">
        <f t="shared" si="12"/>
        <v>0.21379699800000002</v>
      </c>
      <c r="K94" s="61">
        <f t="shared" si="3"/>
        <v>1.4253133200000001</v>
      </c>
      <c r="L94" s="4">
        <f t="shared" si="9"/>
        <v>2.8571428571428572</v>
      </c>
    </row>
    <row r="95" spans="1:12" x14ac:dyDescent="0.25">
      <c r="A95">
        <v>5</v>
      </c>
      <c r="B95">
        <v>1</v>
      </c>
      <c r="C95" s="1" t="s">
        <v>55</v>
      </c>
      <c r="D95" s="1" t="s">
        <v>58</v>
      </c>
      <c r="E95" s="1" t="s">
        <v>53</v>
      </c>
      <c r="F95">
        <v>17</v>
      </c>
      <c r="G95">
        <v>10</v>
      </c>
      <c r="H95" s="3">
        <f t="shared" si="1"/>
        <v>2.2698060000000003E-2</v>
      </c>
      <c r="I95" s="61">
        <f t="shared" si="6"/>
        <v>0.15132040000000002</v>
      </c>
      <c r="J95" s="3">
        <f t="shared" si="12"/>
        <v>0.24271937599999999</v>
      </c>
      <c r="K95" s="61">
        <f t="shared" si="3"/>
        <v>1.6181291733333334</v>
      </c>
      <c r="L95" s="4">
        <f t="shared" si="9"/>
        <v>2.8571428571428572</v>
      </c>
    </row>
    <row r="96" spans="1:12" x14ac:dyDescent="0.25">
      <c r="A96">
        <v>5</v>
      </c>
      <c r="B96">
        <v>2</v>
      </c>
      <c r="C96" s="1" t="s">
        <v>55</v>
      </c>
      <c r="D96" s="1" t="s">
        <v>58</v>
      </c>
      <c r="E96" s="1" t="s">
        <v>53</v>
      </c>
      <c r="F96">
        <v>16</v>
      </c>
      <c r="G96">
        <v>9</v>
      </c>
      <c r="H96" s="3">
        <f t="shared" si="1"/>
        <v>2.0106240000000001E-2</v>
      </c>
      <c r="I96" s="61">
        <f t="shared" si="6"/>
        <v>0.13404160000000001</v>
      </c>
      <c r="J96" s="3">
        <f t="shared" si="12"/>
        <v>0.21547096199999999</v>
      </c>
      <c r="K96" s="61">
        <f t="shared" si="3"/>
        <v>1.4364730800000001</v>
      </c>
      <c r="L96" s="4">
        <f t="shared" si="9"/>
        <v>2.8571428571428572</v>
      </c>
    </row>
    <row r="97" spans="1:12" x14ac:dyDescent="0.25">
      <c r="A97" s="1">
        <v>5</v>
      </c>
      <c r="B97">
        <v>3</v>
      </c>
      <c r="C97" s="1" t="s">
        <v>55</v>
      </c>
      <c r="D97" s="1" t="s">
        <v>58</v>
      </c>
      <c r="E97" s="1" t="s">
        <v>53</v>
      </c>
      <c r="F97">
        <v>18</v>
      </c>
      <c r="G97">
        <v>9</v>
      </c>
      <c r="H97" s="3">
        <f t="shared" si="1"/>
        <v>2.5446959999999998E-2</v>
      </c>
      <c r="I97" s="61">
        <f t="shared" si="6"/>
        <v>0.1696464</v>
      </c>
      <c r="J97" s="3">
        <f t="shared" si="12"/>
        <v>0.24392835000000002</v>
      </c>
      <c r="K97" s="61">
        <f t="shared" si="3"/>
        <v>1.6261890000000001</v>
      </c>
      <c r="L97" s="4">
        <f t="shared" si="9"/>
        <v>2.8571428571428572</v>
      </c>
    </row>
    <row r="98" spans="1:12" x14ac:dyDescent="0.25">
      <c r="A98" s="1">
        <v>5</v>
      </c>
      <c r="B98" s="1">
        <v>4</v>
      </c>
      <c r="C98" s="1" t="s">
        <v>55</v>
      </c>
      <c r="D98" s="1" t="s">
        <v>58</v>
      </c>
      <c r="E98" s="1" t="s">
        <v>53</v>
      </c>
      <c r="F98">
        <v>10</v>
      </c>
      <c r="G98">
        <v>5</v>
      </c>
      <c r="H98" s="3">
        <f t="shared" si="1"/>
        <v>7.8540000000000016E-3</v>
      </c>
      <c r="I98" s="61">
        <f t="shared" si="6"/>
        <v>5.2360000000000011E-2</v>
      </c>
      <c r="J98" s="3">
        <f t="shared" si="12"/>
        <v>0.13158676599999999</v>
      </c>
      <c r="K98" s="61">
        <f t="shared" si="3"/>
        <v>0.87724510666666666</v>
      </c>
      <c r="L98" s="4">
        <f t="shared" si="9"/>
        <v>2.8571428571428572</v>
      </c>
    </row>
    <row r="99" spans="1:12" x14ac:dyDescent="0.25">
      <c r="A99" s="1">
        <v>5</v>
      </c>
      <c r="B99" s="1">
        <v>5</v>
      </c>
      <c r="C99" s="1" t="s">
        <v>55</v>
      </c>
      <c r="D99" s="1" t="s">
        <v>58</v>
      </c>
      <c r="E99" s="1" t="s">
        <v>53</v>
      </c>
      <c r="F99">
        <v>14</v>
      </c>
      <c r="G99">
        <v>6</v>
      </c>
      <c r="H99" s="3">
        <f t="shared" si="1"/>
        <v>1.5393840000000002E-2</v>
      </c>
      <c r="I99" s="61">
        <f t="shared" si="6"/>
        <v>0.10262560000000003</v>
      </c>
      <c r="J99" s="3">
        <f t="shared" si="12"/>
        <v>0.16302009000000001</v>
      </c>
      <c r="K99" s="61">
        <f t="shared" si="3"/>
        <v>1.0868006000000001</v>
      </c>
      <c r="L99" s="4">
        <f t="shared" si="9"/>
        <v>2.8571428571428572</v>
      </c>
    </row>
    <row r="100" spans="1:12" x14ac:dyDescent="0.25">
      <c r="A100" s="1">
        <v>5</v>
      </c>
      <c r="B100" s="1">
        <v>6</v>
      </c>
      <c r="C100" s="1" t="s">
        <v>55</v>
      </c>
      <c r="D100" s="1" t="s">
        <v>58</v>
      </c>
      <c r="E100" s="1" t="s">
        <v>53</v>
      </c>
      <c r="F100">
        <v>13</v>
      </c>
      <c r="G100">
        <v>5</v>
      </c>
      <c r="H100" s="3">
        <f t="shared" si="1"/>
        <v>1.3273260000000002E-2</v>
      </c>
      <c r="I100" s="61">
        <f t="shared" si="6"/>
        <v>8.8488400000000023E-2</v>
      </c>
      <c r="J100" s="3">
        <f t="shared" si="12"/>
        <v>0.147628921</v>
      </c>
      <c r="K100" s="61">
        <f t="shared" si="3"/>
        <v>0.98419280666666664</v>
      </c>
      <c r="L100" s="4">
        <f t="shared" si="9"/>
        <v>2.8571428571428572</v>
      </c>
    </row>
    <row r="101" spans="1:12" x14ac:dyDescent="0.25">
      <c r="A101" s="1">
        <v>5</v>
      </c>
      <c r="B101" s="1">
        <v>7</v>
      </c>
      <c r="C101" s="1" t="s">
        <v>55</v>
      </c>
      <c r="D101" s="1" t="s">
        <v>58</v>
      </c>
      <c r="E101" s="1" t="s">
        <v>53</v>
      </c>
      <c r="F101">
        <v>12</v>
      </c>
      <c r="G101">
        <v>5</v>
      </c>
      <c r="H101" s="3">
        <f t="shared" si="1"/>
        <v>1.130976E-2</v>
      </c>
      <c r="I101" s="61">
        <f t="shared" si="6"/>
        <v>7.5398400000000004E-2</v>
      </c>
      <c r="J101" s="3">
        <f t="shared" si="12"/>
        <v>0.14181654599999999</v>
      </c>
      <c r="K101" s="61">
        <f t="shared" si="3"/>
        <v>0.94544363999999992</v>
      </c>
      <c r="L101" s="4">
        <f t="shared" si="9"/>
        <v>2.8571428571428572</v>
      </c>
    </row>
    <row r="102" spans="1:12" x14ac:dyDescent="0.25">
      <c r="A102" s="1">
        <v>5</v>
      </c>
      <c r="B102" s="1">
        <v>8</v>
      </c>
      <c r="C102" s="1" t="s">
        <v>55</v>
      </c>
      <c r="D102" s="1" t="s">
        <v>58</v>
      </c>
      <c r="E102" s="1" t="s">
        <v>53</v>
      </c>
      <c r="F102">
        <v>14</v>
      </c>
      <c r="G102">
        <v>6</v>
      </c>
      <c r="H102" s="3">
        <f t="shared" si="1"/>
        <v>1.5393840000000002E-2</v>
      </c>
      <c r="I102" s="61">
        <f t="shared" si="6"/>
        <v>0.10262560000000003</v>
      </c>
      <c r="J102" s="3">
        <f t="shared" si="12"/>
        <v>0.16302009000000001</v>
      </c>
      <c r="K102" s="61">
        <f t="shared" si="3"/>
        <v>1.0868006000000001</v>
      </c>
      <c r="L102" s="4">
        <f t="shared" si="9"/>
        <v>2.8571428571428572</v>
      </c>
    </row>
    <row r="103" spans="1:12" x14ac:dyDescent="0.25">
      <c r="A103" s="1">
        <v>5</v>
      </c>
      <c r="B103" s="1">
        <v>9</v>
      </c>
      <c r="C103" s="1" t="s">
        <v>55</v>
      </c>
      <c r="D103" s="1" t="s">
        <v>58</v>
      </c>
      <c r="E103" s="1" t="s">
        <v>53</v>
      </c>
      <c r="F103">
        <v>15</v>
      </c>
      <c r="G103">
        <v>7</v>
      </c>
      <c r="H103" s="3">
        <f t="shared" si="1"/>
        <v>1.76715E-2</v>
      </c>
      <c r="I103" s="61">
        <f t="shared" si="6"/>
        <v>0.11781</v>
      </c>
      <c r="J103" s="3">
        <f t="shared" si="12"/>
        <v>0.18157319100000002</v>
      </c>
      <c r="K103" s="61">
        <f t="shared" si="3"/>
        <v>1.2104879400000002</v>
      </c>
      <c r="L103" s="4">
        <f t="shared" si="9"/>
        <v>2.8571428571428572</v>
      </c>
    </row>
    <row r="104" spans="1:12" x14ac:dyDescent="0.25">
      <c r="A104" s="1">
        <v>5</v>
      </c>
      <c r="B104" s="1">
        <v>10</v>
      </c>
      <c r="C104" s="1" t="s">
        <v>55</v>
      </c>
      <c r="D104" s="1" t="s">
        <v>58</v>
      </c>
      <c r="E104" s="1" t="s">
        <v>53</v>
      </c>
      <c r="F104">
        <v>17</v>
      </c>
      <c r="G104">
        <v>10</v>
      </c>
      <c r="H104" s="3">
        <f t="shared" si="1"/>
        <v>2.2698060000000003E-2</v>
      </c>
      <c r="I104" s="61">
        <f t="shared" si="6"/>
        <v>0.15132040000000002</v>
      </c>
      <c r="J104" s="3">
        <f t="shared" si="12"/>
        <v>0.24271937599999999</v>
      </c>
      <c r="K104" s="61">
        <f t="shared" si="3"/>
        <v>1.6181291733333334</v>
      </c>
      <c r="L104" s="4">
        <f t="shared" si="9"/>
        <v>2.8571428571428572</v>
      </c>
    </row>
    <row r="105" spans="1:12" x14ac:dyDescent="0.25">
      <c r="A105" s="1">
        <v>5</v>
      </c>
      <c r="B105" s="1">
        <v>11</v>
      </c>
      <c r="C105" s="1" t="s">
        <v>55</v>
      </c>
      <c r="D105" s="1" t="s">
        <v>58</v>
      </c>
      <c r="E105" s="1" t="s">
        <v>53</v>
      </c>
      <c r="F105">
        <v>16</v>
      </c>
      <c r="G105">
        <v>9</v>
      </c>
      <c r="H105" s="3">
        <f t="shared" si="1"/>
        <v>2.0106240000000001E-2</v>
      </c>
      <c r="I105" s="61">
        <f t="shared" si="6"/>
        <v>0.13404160000000001</v>
      </c>
      <c r="J105" s="3">
        <f t="shared" si="12"/>
        <v>0.21547096199999999</v>
      </c>
      <c r="K105" s="61">
        <f t="shared" si="3"/>
        <v>1.4364730800000001</v>
      </c>
      <c r="L105" s="4">
        <f t="shared" si="9"/>
        <v>2.8571428571428572</v>
      </c>
    </row>
    <row r="106" spans="1:12" x14ac:dyDescent="0.25">
      <c r="A106" s="1">
        <v>5</v>
      </c>
      <c r="B106" s="1">
        <v>12</v>
      </c>
      <c r="C106" s="1" t="s">
        <v>55</v>
      </c>
      <c r="D106" s="1" t="s">
        <v>58</v>
      </c>
      <c r="E106" s="1" t="s">
        <v>53</v>
      </c>
      <c r="F106">
        <v>12</v>
      </c>
      <c r="G106">
        <v>5</v>
      </c>
      <c r="H106" s="3">
        <f t="shared" si="1"/>
        <v>1.130976E-2</v>
      </c>
      <c r="I106" s="61">
        <f t="shared" si="6"/>
        <v>7.5398400000000004E-2</v>
      </c>
      <c r="J106" s="3">
        <f t="shared" si="12"/>
        <v>0.14181654599999999</v>
      </c>
      <c r="K106" s="61">
        <f t="shared" si="3"/>
        <v>0.94544363999999992</v>
      </c>
      <c r="L106" s="4">
        <f t="shared" si="9"/>
        <v>2.8571428571428572</v>
      </c>
    </row>
    <row r="107" spans="1:12" x14ac:dyDescent="0.25">
      <c r="A107" s="1">
        <v>5</v>
      </c>
      <c r="B107" s="1">
        <v>13</v>
      </c>
      <c r="C107" s="1" t="s">
        <v>55</v>
      </c>
      <c r="D107" s="1" t="s">
        <v>58</v>
      </c>
      <c r="E107" s="1" t="s">
        <v>53</v>
      </c>
      <c r="F107">
        <v>10</v>
      </c>
      <c r="G107">
        <v>5</v>
      </c>
      <c r="H107" s="3">
        <f t="shared" si="1"/>
        <v>7.8540000000000016E-3</v>
      </c>
      <c r="I107" s="61">
        <f t="shared" si="6"/>
        <v>5.2360000000000011E-2</v>
      </c>
      <c r="J107" s="3">
        <f t="shared" si="12"/>
        <v>0.13158676599999999</v>
      </c>
      <c r="K107" s="61">
        <f t="shared" si="3"/>
        <v>0.87724510666666666</v>
      </c>
      <c r="L107" s="4">
        <f t="shared" si="9"/>
        <v>2.8571428571428572</v>
      </c>
    </row>
    <row r="108" spans="1:12" x14ac:dyDescent="0.25">
      <c r="A108" s="1">
        <v>5</v>
      </c>
      <c r="B108" s="1">
        <v>14</v>
      </c>
      <c r="C108" s="1" t="s">
        <v>55</v>
      </c>
      <c r="D108" s="1" t="s">
        <v>58</v>
      </c>
      <c r="E108" s="1" t="s">
        <v>53</v>
      </c>
      <c r="F108">
        <v>18</v>
      </c>
      <c r="G108">
        <v>10</v>
      </c>
      <c r="H108" s="3">
        <f t="shared" si="1"/>
        <v>2.5446959999999998E-2</v>
      </c>
      <c r="I108" s="61">
        <f t="shared" si="6"/>
        <v>0.1696464</v>
      </c>
      <c r="J108" s="3">
        <f t="shared" si="12"/>
        <v>0.25899402599999999</v>
      </c>
      <c r="K108" s="61">
        <f t="shared" si="3"/>
        <v>1.72662684</v>
      </c>
      <c r="L108" s="4">
        <f t="shared" si="9"/>
        <v>2.8571428571428572</v>
      </c>
    </row>
    <row r="109" spans="1:12" x14ac:dyDescent="0.25">
      <c r="A109" s="1">
        <v>5</v>
      </c>
      <c r="B109" s="1">
        <v>15</v>
      </c>
      <c r="C109" s="1" t="s">
        <v>55</v>
      </c>
      <c r="D109" s="1" t="s">
        <v>58</v>
      </c>
      <c r="E109" s="1" t="s">
        <v>54</v>
      </c>
      <c r="F109">
        <v>20</v>
      </c>
      <c r="G109">
        <v>10</v>
      </c>
      <c r="H109" s="3">
        <f t="shared" si="1"/>
        <v>3.1416000000000006E-2</v>
      </c>
      <c r="I109" s="61">
        <f t="shared" si="6"/>
        <v>0.20944000000000004</v>
      </c>
      <c r="J109" s="3">
        <f t="shared" si="12"/>
        <v>0.29433326600000004</v>
      </c>
      <c r="K109" s="61">
        <f t="shared" si="3"/>
        <v>1.9622217733333336</v>
      </c>
      <c r="L109" s="4">
        <f t="shared" si="9"/>
        <v>2.8571428571428572</v>
      </c>
    </row>
    <row r="110" spans="1:12" x14ac:dyDescent="0.25">
      <c r="A110" s="1">
        <v>5</v>
      </c>
      <c r="B110" s="1">
        <v>16</v>
      </c>
      <c r="C110" s="1" t="s">
        <v>55</v>
      </c>
      <c r="D110" s="1" t="s">
        <v>58</v>
      </c>
      <c r="E110" s="1" t="s">
        <v>54</v>
      </c>
      <c r="F110">
        <v>20</v>
      </c>
      <c r="G110">
        <v>10</v>
      </c>
      <c r="H110" s="3">
        <f t="shared" si="1"/>
        <v>3.1416000000000006E-2</v>
      </c>
      <c r="I110" s="61">
        <f t="shared" si="6"/>
        <v>0.20944000000000004</v>
      </c>
      <c r="J110" s="3">
        <f t="shared" si="12"/>
        <v>0.29433326600000004</v>
      </c>
      <c r="K110" s="61">
        <f t="shared" si="3"/>
        <v>1.9622217733333336</v>
      </c>
      <c r="L110" s="4">
        <f t="shared" si="9"/>
        <v>2.8571428571428572</v>
      </c>
    </row>
    <row r="111" spans="1:12" x14ac:dyDescent="0.25">
      <c r="A111" s="1">
        <v>5</v>
      </c>
      <c r="B111" s="1">
        <v>17</v>
      </c>
      <c r="C111" s="1" t="s">
        <v>55</v>
      </c>
      <c r="D111" s="1" t="s">
        <v>58</v>
      </c>
      <c r="E111" s="1" t="s">
        <v>53</v>
      </c>
      <c r="F111">
        <v>18</v>
      </c>
      <c r="G111">
        <v>8</v>
      </c>
      <c r="H111" s="3">
        <f t="shared" si="1"/>
        <v>2.5446959999999998E-2</v>
      </c>
      <c r="I111" s="61">
        <f t="shared" si="6"/>
        <v>0.1696464</v>
      </c>
      <c r="J111" s="3">
        <f t="shared" si="12"/>
        <v>0.22886267400000002</v>
      </c>
      <c r="K111" s="61">
        <f t="shared" si="3"/>
        <v>1.5257511600000002</v>
      </c>
      <c r="L111" s="4">
        <f t="shared" si="9"/>
        <v>2.8571428571428572</v>
      </c>
    </row>
    <row r="112" spans="1:12" x14ac:dyDescent="0.25">
      <c r="A112" s="1">
        <v>5</v>
      </c>
      <c r="B112" s="1">
        <v>18</v>
      </c>
      <c r="C112" s="1" t="s">
        <v>55</v>
      </c>
      <c r="D112" s="1" t="s">
        <v>58</v>
      </c>
      <c r="E112" s="1" t="s">
        <v>53</v>
      </c>
      <c r="F112">
        <v>17</v>
      </c>
      <c r="G112">
        <v>8</v>
      </c>
      <c r="H112" s="3">
        <f t="shared" si="1"/>
        <v>2.2698060000000003E-2</v>
      </c>
      <c r="I112" s="61">
        <f t="shared" si="6"/>
        <v>0.15132040000000002</v>
      </c>
      <c r="J112" s="3">
        <f t="shared" si="12"/>
        <v>0.215842954</v>
      </c>
      <c r="K112" s="61">
        <f t="shared" si="3"/>
        <v>1.4389530266666668</v>
      </c>
      <c r="L112" s="4">
        <f t="shared" si="9"/>
        <v>2.8571428571428572</v>
      </c>
    </row>
    <row r="113" spans="1:12" x14ac:dyDescent="0.25">
      <c r="A113" s="1">
        <v>5</v>
      </c>
      <c r="B113" s="1">
        <v>19</v>
      </c>
      <c r="C113" s="1" t="s">
        <v>55</v>
      </c>
      <c r="D113" s="1" t="s">
        <v>58</v>
      </c>
      <c r="E113" s="1" t="s">
        <v>53</v>
      </c>
      <c r="F113">
        <v>13</v>
      </c>
      <c r="G113">
        <v>5</v>
      </c>
      <c r="H113" s="3">
        <f t="shared" si="1"/>
        <v>1.3273260000000002E-2</v>
      </c>
      <c r="I113" s="61">
        <f t="shared" si="6"/>
        <v>8.8488400000000023E-2</v>
      </c>
      <c r="J113" s="3">
        <f t="shared" si="12"/>
        <v>0.147628921</v>
      </c>
      <c r="K113" s="61">
        <f t="shared" si="3"/>
        <v>0.98419280666666664</v>
      </c>
      <c r="L113" s="4">
        <f t="shared" si="9"/>
        <v>2.8571428571428572</v>
      </c>
    </row>
    <row r="114" spans="1:12" x14ac:dyDescent="0.25">
      <c r="A114" s="1">
        <v>5</v>
      </c>
      <c r="B114" s="1">
        <v>20</v>
      </c>
      <c r="C114" s="1" t="s">
        <v>55</v>
      </c>
      <c r="D114" s="1" t="s">
        <v>58</v>
      </c>
      <c r="E114" s="1" t="s">
        <v>53</v>
      </c>
      <c r="F114">
        <v>15</v>
      </c>
      <c r="G114">
        <v>6</v>
      </c>
      <c r="H114" s="3">
        <f t="shared" si="1"/>
        <v>1.76715E-2</v>
      </c>
      <c r="I114" s="61">
        <f t="shared" si="6"/>
        <v>0.11781</v>
      </c>
      <c r="J114" s="3">
        <f t="shared" si="12"/>
        <v>0.171110916</v>
      </c>
      <c r="K114" s="61">
        <f t="shared" si="3"/>
        <v>1.1407394400000002</v>
      </c>
      <c r="L114" s="4">
        <f t="shared" si="9"/>
        <v>2.8571428571428572</v>
      </c>
    </row>
    <row r="115" spans="1:12" x14ac:dyDescent="0.25">
      <c r="A115" s="1">
        <v>5</v>
      </c>
      <c r="B115" s="1">
        <v>21</v>
      </c>
      <c r="C115" s="1" t="s">
        <v>55</v>
      </c>
      <c r="D115" s="1" t="s">
        <v>58</v>
      </c>
      <c r="E115" s="1" t="s">
        <v>53</v>
      </c>
      <c r="F115">
        <v>17</v>
      </c>
      <c r="G115">
        <v>9</v>
      </c>
      <c r="H115" s="3">
        <f t="shared" si="1"/>
        <v>2.2698060000000003E-2</v>
      </c>
      <c r="I115" s="61">
        <f t="shared" si="6"/>
        <v>0.15132040000000002</v>
      </c>
      <c r="J115" s="3">
        <f t="shared" si="12"/>
        <v>0.22928116500000001</v>
      </c>
      <c r="K115" s="61">
        <f t="shared" si="3"/>
        <v>1.5285411000000002</v>
      </c>
      <c r="L115" s="4">
        <f t="shared" si="9"/>
        <v>2.8571428571428572</v>
      </c>
    </row>
    <row r="116" spans="1:12" x14ac:dyDescent="0.25">
      <c r="A116" s="1">
        <v>5</v>
      </c>
      <c r="B116" s="1">
        <v>22</v>
      </c>
      <c r="C116" s="1" t="s">
        <v>55</v>
      </c>
      <c r="D116" s="1" t="s">
        <v>58</v>
      </c>
      <c r="E116" s="1" t="s">
        <v>53</v>
      </c>
      <c r="F116">
        <v>18</v>
      </c>
      <c r="G116">
        <v>9</v>
      </c>
      <c r="H116" s="3">
        <f t="shared" si="1"/>
        <v>2.5446959999999998E-2</v>
      </c>
      <c r="I116" s="61">
        <f t="shared" si="6"/>
        <v>0.1696464</v>
      </c>
      <c r="J116" s="3">
        <f t="shared" si="12"/>
        <v>0.24392835000000002</v>
      </c>
      <c r="K116" s="61">
        <f t="shared" si="3"/>
        <v>1.6261890000000001</v>
      </c>
      <c r="L116" s="4">
        <f t="shared" si="9"/>
        <v>2.8571428571428572</v>
      </c>
    </row>
    <row r="117" spans="1:12" x14ac:dyDescent="0.25">
      <c r="A117" s="1">
        <v>5</v>
      </c>
      <c r="B117" s="1">
        <v>23</v>
      </c>
      <c r="C117" s="1" t="s">
        <v>55</v>
      </c>
      <c r="D117" s="1" t="s">
        <v>58</v>
      </c>
      <c r="E117" s="1" t="s">
        <v>53</v>
      </c>
      <c r="F117">
        <v>14</v>
      </c>
      <c r="G117">
        <v>6</v>
      </c>
      <c r="H117" s="3">
        <f t="shared" si="1"/>
        <v>1.5393840000000002E-2</v>
      </c>
      <c r="I117" s="61">
        <f t="shared" si="6"/>
        <v>0.10262560000000003</v>
      </c>
      <c r="J117" s="3">
        <f t="shared" si="12"/>
        <v>0.16302009000000001</v>
      </c>
      <c r="K117" s="61">
        <f t="shared" si="3"/>
        <v>1.0868006000000001</v>
      </c>
      <c r="L117" s="4">
        <f t="shared" si="9"/>
        <v>2.8571428571428572</v>
      </c>
    </row>
    <row r="118" spans="1:12" x14ac:dyDescent="0.25">
      <c r="A118" s="1">
        <v>5</v>
      </c>
      <c r="B118" s="1">
        <v>24</v>
      </c>
      <c r="C118" s="1" t="s">
        <v>55</v>
      </c>
      <c r="D118" s="1" t="s">
        <v>58</v>
      </c>
      <c r="E118" s="1" t="s">
        <v>53</v>
      </c>
      <c r="F118">
        <v>14</v>
      </c>
      <c r="G118">
        <v>8</v>
      </c>
      <c r="H118" s="3">
        <f t="shared" si="1"/>
        <v>1.5393840000000002E-2</v>
      </c>
      <c r="I118" s="61">
        <f t="shared" si="6"/>
        <v>0.10262560000000003</v>
      </c>
      <c r="J118" s="3">
        <f t="shared" si="12"/>
        <v>0.18124769800000001</v>
      </c>
      <c r="K118" s="61">
        <f t="shared" si="3"/>
        <v>1.2083179866666669</v>
      </c>
      <c r="L118" s="4">
        <f t="shared" si="9"/>
        <v>2.8571428571428572</v>
      </c>
    </row>
    <row r="119" spans="1:12" x14ac:dyDescent="0.25">
      <c r="A119" s="1">
        <v>5</v>
      </c>
      <c r="B119" s="1">
        <v>25</v>
      </c>
      <c r="C119" s="1" t="s">
        <v>55</v>
      </c>
      <c r="D119" s="1" t="s">
        <v>58</v>
      </c>
      <c r="E119" s="1" t="s">
        <v>53</v>
      </c>
      <c r="F119">
        <v>13</v>
      </c>
      <c r="G119">
        <v>6</v>
      </c>
      <c r="H119" s="3">
        <f t="shared" si="1"/>
        <v>1.3273260000000002E-2</v>
      </c>
      <c r="I119" s="61">
        <f t="shared" si="6"/>
        <v>8.8488400000000023E-2</v>
      </c>
      <c r="J119" s="3">
        <f t="shared" si="12"/>
        <v>0.15548725200000002</v>
      </c>
      <c r="K119" s="61">
        <f t="shared" si="3"/>
        <v>1.0365816800000003</v>
      </c>
      <c r="L119" s="4">
        <f t="shared" si="9"/>
        <v>2.8571428571428572</v>
      </c>
    </row>
    <row r="120" spans="1:12" x14ac:dyDescent="0.25">
      <c r="A120" s="1">
        <v>5</v>
      </c>
      <c r="B120" s="1">
        <v>26</v>
      </c>
      <c r="C120" s="1" t="s">
        <v>55</v>
      </c>
      <c r="D120" s="1" t="s">
        <v>58</v>
      </c>
      <c r="E120" s="1" t="s">
        <v>53</v>
      </c>
      <c r="F120">
        <v>14</v>
      </c>
      <c r="G120">
        <v>6</v>
      </c>
      <c r="H120" s="3">
        <f t="shared" si="1"/>
        <v>1.5393840000000002E-2</v>
      </c>
      <c r="I120" s="61">
        <f t="shared" si="6"/>
        <v>0.10262560000000003</v>
      </c>
      <c r="J120" s="3">
        <f t="shared" si="12"/>
        <v>0.16302009000000001</v>
      </c>
      <c r="K120" s="61">
        <f t="shared" si="3"/>
        <v>1.0868006000000001</v>
      </c>
      <c r="L120" s="4">
        <f t="shared" si="9"/>
        <v>2.8571428571428572</v>
      </c>
    </row>
    <row r="121" spans="1:12" x14ac:dyDescent="0.25">
      <c r="A121">
        <v>6</v>
      </c>
      <c r="B121">
        <v>1</v>
      </c>
      <c r="C121" s="1" t="s">
        <v>70</v>
      </c>
      <c r="D121" s="1" t="s">
        <v>63</v>
      </c>
      <c r="E121" s="1" t="s">
        <v>53</v>
      </c>
      <c r="F121">
        <v>17</v>
      </c>
      <c r="G121">
        <v>9</v>
      </c>
      <c r="H121" s="3">
        <f t="shared" si="1"/>
        <v>2.2698060000000003E-2</v>
      </c>
      <c r="I121" s="61">
        <f t="shared" si="6"/>
        <v>0.15132040000000002</v>
      </c>
      <c r="J121" s="3">
        <f t="shared" ref="J121:J133" si="13">(0.0134651922+0.0000289134*(F121^2*G121))</f>
        <v>8.8668945600000007E-2</v>
      </c>
      <c r="K121" s="61">
        <f t="shared" si="3"/>
        <v>0.5911263040000001</v>
      </c>
      <c r="L121" s="4">
        <f t="shared" si="9"/>
        <v>2.8571428571428572</v>
      </c>
    </row>
    <row r="122" spans="1:12" x14ac:dyDescent="0.25">
      <c r="A122" s="1">
        <v>6</v>
      </c>
      <c r="B122">
        <v>2</v>
      </c>
      <c r="C122" s="1" t="s">
        <v>70</v>
      </c>
      <c r="D122" s="1" t="s">
        <v>63</v>
      </c>
      <c r="E122" s="1" t="s">
        <v>53</v>
      </c>
      <c r="F122">
        <v>14</v>
      </c>
      <c r="G122">
        <v>7</v>
      </c>
      <c r="H122" s="3">
        <f t="shared" si="1"/>
        <v>1.5393840000000002E-2</v>
      </c>
      <c r="I122" s="61">
        <f t="shared" si="6"/>
        <v>0.10262560000000003</v>
      </c>
      <c r="J122" s="3">
        <f t="shared" si="13"/>
        <v>5.3134376999999997E-2</v>
      </c>
      <c r="K122" s="61">
        <f t="shared" si="3"/>
        <v>0.35422917999999998</v>
      </c>
      <c r="L122" s="4">
        <f t="shared" si="9"/>
        <v>2.8571428571428572</v>
      </c>
    </row>
    <row r="123" spans="1:12" x14ac:dyDescent="0.25">
      <c r="A123" s="1">
        <v>6</v>
      </c>
      <c r="B123">
        <v>3</v>
      </c>
      <c r="C123" s="1" t="s">
        <v>70</v>
      </c>
      <c r="D123" s="1" t="s">
        <v>63</v>
      </c>
      <c r="E123" s="1" t="s">
        <v>53</v>
      </c>
      <c r="F123">
        <v>18</v>
      </c>
      <c r="G123">
        <v>9</v>
      </c>
      <c r="H123" s="3">
        <f t="shared" si="1"/>
        <v>2.5446959999999998E-2</v>
      </c>
      <c r="I123" s="61">
        <f t="shared" si="6"/>
        <v>0.1696464</v>
      </c>
      <c r="J123" s="3">
        <f t="shared" si="13"/>
        <v>9.7776666600000006E-2</v>
      </c>
      <c r="K123" s="61">
        <f t="shared" si="3"/>
        <v>0.65184444400000008</v>
      </c>
      <c r="L123" s="4">
        <f t="shared" si="9"/>
        <v>2.8571428571428572</v>
      </c>
    </row>
    <row r="124" spans="1:12" x14ac:dyDescent="0.25">
      <c r="A124" s="1">
        <v>6</v>
      </c>
      <c r="B124" s="1">
        <v>4</v>
      </c>
      <c r="C124" s="1" t="s">
        <v>70</v>
      </c>
      <c r="D124" s="1" t="s">
        <v>63</v>
      </c>
      <c r="E124" s="1" t="s">
        <v>53</v>
      </c>
      <c r="F124">
        <v>10</v>
      </c>
      <c r="G124">
        <v>6</v>
      </c>
      <c r="H124" s="3">
        <f t="shared" si="1"/>
        <v>7.8540000000000016E-3</v>
      </c>
      <c r="I124" s="61">
        <f t="shared" si="6"/>
        <v>5.2360000000000011E-2</v>
      </c>
      <c r="J124" s="3">
        <f t="shared" si="13"/>
        <v>3.0813232199999999E-2</v>
      </c>
      <c r="K124" s="61">
        <f t="shared" si="3"/>
        <v>0.20542154800000001</v>
      </c>
      <c r="L124" s="4">
        <f t="shared" si="9"/>
        <v>2.8571428571428572</v>
      </c>
    </row>
    <row r="125" spans="1:12" x14ac:dyDescent="0.25">
      <c r="A125" s="1">
        <v>6</v>
      </c>
      <c r="B125" s="1">
        <v>5</v>
      </c>
      <c r="C125" s="1" t="s">
        <v>70</v>
      </c>
      <c r="D125" s="1" t="s">
        <v>63</v>
      </c>
      <c r="E125" s="1" t="s">
        <v>53</v>
      </c>
      <c r="F125">
        <v>12</v>
      </c>
      <c r="G125">
        <v>7</v>
      </c>
      <c r="H125" s="3">
        <f t="shared" si="1"/>
        <v>1.130976E-2</v>
      </c>
      <c r="I125" s="61">
        <f t="shared" si="6"/>
        <v>7.5398400000000004E-2</v>
      </c>
      <c r="J125" s="3">
        <f t="shared" si="13"/>
        <v>4.2609899399999998E-2</v>
      </c>
      <c r="K125" s="61">
        <f t="shared" si="3"/>
        <v>0.28406599599999999</v>
      </c>
      <c r="L125" s="4">
        <f t="shared" si="9"/>
        <v>2.8571428571428572</v>
      </c>
    </row>
    <row r="126" spans="1:12" x14ac:dyDescent="0.25">
      <c r="A126" s="1">
        <v>6</v>
      </c>
      <c r="B126" s="1">
        <v>6</v>
      </c>
      <c r="C126" s="1" t="s">
        <v>70</v>
      </c>
      <c r="D126" s="1" t="s">
        <v>63</v>
      </c>
      <c r="E126" s="1" t="s">
        <v>53</v>
      </c>
      <c r="F126">
        <v>15</v>
      </c>
      <c r="G126">
        <v>7</v>
      </c>
      <c r="H126" s="3">
        <f t="shared" si="1"/>
        <v>1.76715E-2</v>
      </c>
      <c r="I126" s="61">
        <f t="shared" si="6"/>
        <v>0.11781</v>
      </c>
      <c r="J126" s="3">
        <f t="shared" si="13"/>
        <v>5.9003797199999999E-2</v>
      </c>
      <c r="K126" s="61">
        <f t="shared" si="3"/>
        <v>0.39335864800000003</v>
      </c>
      <c r="L126" s="4">
        <f t="shared" si="9"/>
        <v>2.8571428571428572</v>
      </c>
    </row>
    <row r="127" spans="1:12" x14ac:dyDescent="0.25">
      <c r="A127" s="1">
        <v>6</v>
      </c>
      <c r="B127" s="1">
        <v>7</v>
      </c>
      <c r="C127" s="1" t="s">
        <v>70</v>
      </c>
      <c r="D127" s="1" t="s">
        <v>63</v>
      </c>
      <c r="E127" s="1" t="s">
        <v>53</v>
      </c>
      <c r="F127">
        <v>17</v>
      </c>
      <c r="G127">
        <v>8</v>
      </c>
      <c r="H127" s="3">
        <f t="shared" si="1"/>
        <v>2.2698060000000003E-2</v>
      </c>
      <c r="I127" s="61">
        <f t="shared" si="6"/>
        <v>0.15132040000000002</v>
      </c>
      <c r="J127" s="3">
        <f t="shared" si="13"/>
        <v>8.031297300000001E-2</v>
      </c>
      <c r="K127" s="61">
        <f t="shared" si="3"/>
        <v>0.5354198200000001</v>
      </c>
      <c r="L127" s="4">
        <f t="shared" si="9"/>
        <v>2.8571428571428572</v>
      </c>
    </row>
    <row r="128" spans="1:12" x14ac:dyDescent="0.25">
      <c r="A128" s="1">
        <v>6</v>
      </c>
      <c r="B128" s="1">
        <v>8</v>
      </c>
      <c r="C128" s="1" t="s">
        <v>70</v>
      </c>
      <c r="D128" s="1" t="s">
        <v>63</v>
      </c>
      <c r="E128" s="1" t="s">
        <v>53</v>
      </c>
      <c r="F128">
        <v>16</v>
      </c>
      <c r="G128">
        <v>7</v>
      </c>
      <c r="H128" s="3">
        <f t="shared" si="1"/>
        <v>2.0106240000000001E-2</v>
      </c>
      <c r="I128" s="61">
        <f t="shared" si="6"/>
        <v>0.13404160000000001</v>
      </c>
      <c r="J128" s="3">
        <f t="shared" si="13"/>
        <v>6.5278005E-2</v>
      </c>
      <c r="K128" s="61">
        <f t="shared" si="3"/>
        <v>0.43518670000000004</v>
      </c>
      <c r="L128" s="4">
        <f t="shared" ref="L128:L191" si="14">1*1/0.35</f>
        <v>2.8571428571428572</v>
      </c>
    </row>
    <row r="129" spans="1:12" x14ac:dyDescent="0.25">
      <c r="A129" s="1">
        <v>6</v>
      </c>
      <c r="B129" s="1">
        <v>9</v>
      </c>
      <c r="C129" s="1" t="s">
        <v>70</v>
      </c>
      <c r="D129" s="1" t="s">
        <v>63</v>
      </c>
      <c r="E129" s="1" t="s">
        <v>53</v>
      </c>
      <c r="F129">
        <v>17</v>
      </c>
      <c r="G129">
        <v>7</v>
      </c>
      <c r="H129" s="3">
        <f t="shared" si="1"/>
        <v>2.2698060000000003E-2</v>
      </c>
      <c r="I129" s="61">
        <f t="shared" si="6"/>
        <v>0.15132040000000002</v>
      </c>
      <c r="J129" s="3">
        <f t="shared" si="13"/>
        <v>7.1957000399999999E-2</v>
      </c>
      <c r="K129" s="61">
        <f t="shared" si="3"/>
        <v>0.47971333599999999</v>
      </c>
      <c r="L129" s="4">
        <f t="shared" si="14"/>
        <v>2.8571428571428572</v>
      </c>
    </row>
    <row r="130" spans="1:12" x14ac:dyDescent="0.25">
      <c r="A130" s="1">
        <v>6</v>
      </c>
      <c r="B130" s="1">
        <v>10</v>
      </c>
      <c r="C130" s="1" t="s">
        <v>70</v>
      </c>
      <c r="D130" s="1" t="s">
        <v>63</v>
      </c>
      <c r="E130" s="1" t="s">
        <v>53</v>
      </c>
      <c r="F130">
        <v>18</v>
      </c>
      <c r="G130">
        <v>7</v>
      </c>
      <c r="H130" s="3">
        <f t="shared" si="1"/>
        <v>2.5446959999999998E-2</v>
      </c>
      <c r="I130" s="61">
        <f t="shared" si="6"/>
        <v>0.1696464</v>
      </c>
      <c r="J130" s="3">
        <f t="shared" si="13"/>
        <v>7.9040783400000009E-2</v>
      </c>
      <c r="K130" s="61">
        <f t="shared" si="3"/>
        <v>0.52693855600000006</v>
      </c>
      <c r="L130" s="4">
        <f t="shared" si="14"/>
        <v>2.8571428571428572</v>
      </c>
    </row>
    <row r="131" spans="1:12" x14ac:dyDescent="0.25">
      <c r="A131" s="1">
        <v>6</v>
      </c>
      <c r="B131" s="1">
        <v>11</v>
      </c>
      <c r="C131" s="1" t="s">
        <v>70</v>
      </c>
      <c r="D131" s="1" t="s">
        <v>63</v>
      </c>
      <c r="E131" s="1" t="s">
        <v>53</v>
      </c>
      <c r="F131">
        <v>13</v>
      </c>
      <c r="G131">
        <v>6</v>
      </c>
      <c r="H131" s="3">
        <f t="shared" si="1"/>
        <v>1.3273260000000002E-2</v>
      </c>
      <c r="I131" s="61">
        <f t="shared" si="6"/>
        <v>8.8488400000000023E-2</v>
      </c>
      <c r="J131" s="3">
        <f t="shared" si="13"/>
        <v>4.27833798E-2</v>
      </c>
      <c r="K131" s="61">
        <f t="shared" si="3"/>
        <v>0.28522253200000003</v>
      </c>
      <c r="L131" s="4">
        <f t="shared" si="14"/>
        <v>2.8571428571428572</v>
      </c>
    </row>
    <row r="132" spans="1:12" x14ac:dyDescent="0.25">
      <c r="A132" s="1">
        <v>6</v>
      </c>
      <c r="B132" s="1">
        <v>12</v>
      </c>
      <c r="C132" s="1" t="s">
        <v>70</v>
      </c>
      <c r="D132" s="1" t="s">
        <v>63</v>
      </c>
      <c r="E132" s="1" t="s">
        <v>53</v>
      </c>
      <c r="F132">
        <v>10</v>
      </c>
      <c r="G132">
        <v>5</v>
      </c>
      <c r="H132" s="3">
        <f t="shared" si="1"/>
        <v>7.8540000000000016E-3</v>
      </c>
      <c r="I132" s="61">
        <f t="shared" si="6"/>
        <v>5.2360000000000011E-2</v>
      </c>
      <c r="J132" s="3">
        <f t="shared" si="13"/>
        <v>2.7921892199999999E-2</v>
      </c>
      <c r="K132" s="61">
        <f t="shared" si="3"/>
        <v>0.18614594800000001</v>
      </c>
      <c r="L132" s="4">
        <f t="shared" si="14"/>
        <v>2.8571428571428572</v>
      </c>
    </row>
    <row r="133" spans="1:12" x14ac:dyDescent="0.25">
      <c r="A133" s="1">
        <v>6</v>
      </c>
      <c r="B133" s="1">
        <v>13</v>
      </c>
      <c r="C133" s="1" t="s">
        <v>70</v>
      </c>
      <c r="D133" s="1" t="s">
        <v>63</v>
      </c>
      <c r="E133" s="1" t="s">
        <v>53</v>
      </c>
      <c r="F133">
        <v>15</v>
      </c>
      <c r="G133">
        <v>7</v>
      </c>
      <c r="H133" s="3">
        <f t="shared" si="1"/>
        <v>1.76715E-2</v>
      </c>
      <c r="I133" s="61">
        <f t="shared" si="6"/>
        <v>0.11781</v>
      </c>
      <c r="J133" s="3">
        <f t="shared" si="13"/>
        <v>5.9003797199999999E-2</v>
      </c>
      <c r="K133" s="61">
        <f t="shared" si="3"/>
        <v>0.39335864800000003</v>
      </c>
      <c r="L133" s="4">
        <f t="shared" si="14"/>
        <v>2.8571428571428572</v>
      </c>
    </row>
    <row r="134" spans="1:12" x14ac:dyDescent="0.25">
      <c r="A134" s="1">
        <v>6</v>
      </c>
      <c r="B134" s="1">
        <v>14</v>
      </c>
      <c r="C134" s="1" t="s">
        <v>52</v>
      </c>
      <c r="D134" s="1" t="s">
        <v>57</v>
      </c>
      <c r="E134" s="1" t="s">
        <v>53</v>
      </c>
      <c r="F134">
        <v>18</v>
      </c>
      <c r="G134">
        <v>8</v>
      </c>
      <c r="H134" s="3">
        <f t="shared" si="1"/>
        <v>2.5446959999999998E-2</v>
      </c>
      <c r="I134" s="61">
        <f t="shared" si="6"/>
        <v>0.1696464</v>
      </c>
      <c r="J134" s="3">
        <f t="shared" ref="J134:J137" si="15">(0.0050811768+0.0000286052*(F134^2*G134))</f>
        <v>7.92258552E-2</v>
      </c>
      <c r="K134" s="61">
        <f t="shared" si="3"/>
        <v>0.528172368</v>
      </c>
      <c r="L134" s="4">
        <f t="shared" si="14"/>
        <v>2.8571428571428572</v>
      </c>
    </row>
    <row r="135" spans="1:12" x14ac:dyDescent="0.25">
      <c r="A135" s="1">
        <v>6</v>
      </c>
      <c r="B135" s="1">
        <v>15</v>
      </c>
      <c r="C135" s="1" t="s">
        <v>52</v>
      </c>
      <c r="D135" s="1" t="s">
        <v>57</v>
      </c>
      <c r="E135" s="1" t="s">
        <v>54</v>
      </c>
      <c r="F135">
        <v>20</v>
      </c>
      <c r="G135">
        <v>9</v>
      </c>
      <c r="H135" s="3">
        <f t="shared" si="1"/>
        <v>3.1416000000000006E-2</v>
      </c>
      <c r="I135" s="61">
        <f t="shared" si="6"/>
        <v>0.20944000000000004</v>
      </c>
      <c r="J135" s="3">
        <f t="shared" si="15"/>
        <v>0.1080598968</v>
      </c>
      <c r="K135" s="61">
        <f t="shared" si="3"/>
        <v>0.72039931200000007</v>
      </c>
      <c r="L135" s="4">
        <f t="shared" si="14"/>
        <v>2.8571428571428572</v>
      </c>
    </row>
    <row r="136" spans="1:12" x14ac:dyDescent="0.25">
      <c r="A136" s="1">
        <v>6</v>
      </c>
      <c r="B136" s="1">
        <v>16</v>
      </c>
      <c r="C136" s="1" t="s">
        <v>52</v>
      </c>
      <c r="D136" s="1" t="s">
        <v>57</v>
      </c>
      <c r="E136" s="1" t="s">
        <v>54</v>
      </c>
      <c r="F136">
        <v>20</v>
      </c>
      <c r="G136">
        <v>9</v>
      </c>
      <c r="H136" s="3">
        <f t="shared" si="1"/>
        <v>3.1416000000000006E-2</v>
      </c>
      <c r="I136" s="61">
        <f t="shared" si="6"/>
        <v>0.20944000000000004</v>
      </c>
      <c r="J136" s="3">
        <f t="shared" si="15"/>
        <v>0.1080598968</v>
      </c>
      <c r="K136" s="61">
        <f t="shared" si="3"/>
        <v>0.72039931200000007</v>
      </c>
      <c r="L136" s="4">
        <f t="shared" si="14"/>
        <v>2.8571428571428572</v>
      </c>
    </row>
    <row r="137" spans="1:12" x14ac:dyDescent="0.25">
      <c r="A137" s="1">
        <v>6</v>
      </c>
      <c r="B137" s="1">
        <v>17</v>
      </c>
      <c r="C137" s="1" t="s">
        <v>52</v>
      </c>
      <c r="D137" s="1" t="s">
        <v>57</v>
      </c>
      <c r="E137" s="1" t="s">
        <v>53</v>
      </c>
      <c r="F137">
        <v>19</v>
      </c>
      <c r="G137">
        <v>8</v>
      </c>
      <c r="H137" s="3">
        <f t="shared" si="1"/>
        <v>2.835294E-2</v>
      </c>
      <c r="I137" s="61">
        <f t="shared" si="6"/>
        <v>0.18901960000000001</v>
      </c>
      <c r="J137" s="3">
        <f t="shared" si="15"/>
        <v>8.7692994400000002E-2</v>
      </c>
      <c r="K137" s="61">
        <f t="shared" si="3"/>
        <v>0.58461996266666671</v>
      </c>
      <c r="L137" s="4">
        <f t="shared" si="14"/>
        <v>2.8571428571428572</v>
      </c>
    </row>
    <row r="138" spans="1:12" x14ac:dyDescent="0.25">
      <c r="A138" s="1">
        <v>6</v>
      </c>
      <c r="B138" s="1">
        <v>18</v>
      </c>
      <c r="C138" s="1" t="s">
        <v>55</v>
      </c>
      <c r="D138" s="1" t="s">
        <v>58</v>
      </c>
      <c r="E138" s="1" t="s">
        <v>53</v>
      </c>
      <c r="F138">
        <v>17</v>
      </c>
      <c r="G138">
        <v>7</v>
      </c>
      <c r="H138" s="3">
        <f t="shared" si="1"/>
        <v>2.2698060000000003E-2</v>
      </c>
      <c r="I138" s="61">
        <f t="shared" si="6"/>
        <v>0.15132040000000002</v>
      </c>
      <c r="J138" s="3">
        <f t="shared" ref="J138:J141" si="16">(0.108337266+0.000046499*(F138^2*G138))</f>
        <v>0.202404743</v>
      </c>
      <c r="K138" s="61">
        <f t="shared" si="3"/>
        <v>1.3493649533333334</v>
      </c>
      <c r="L138" s="4">
        <f t="shared" si="14"/>
        <v>2.8571428571428572</v>
      </c>
    </row>
    <row r="139" spans="1:12" x14ac:dyDescent="0.25">
      <c r="A139" s="1">
        <v>6</v>
      </c>
      <c r="B139" s="1">
        <v>19</v>
      </c>
      <c r="C139" s="1" t="s">
        <v>55</v>
      </c>
      <c r="D139" s="1" t="s">
        <v>58</v>
      </c>
      <c r="E139" s="1" t="s">
        <v>53</v>
      </c>
      <c r="F139">
        <v>14</v>
      </c>
      <c r="G139">
        <v>6</v>
      </c>
      <c r="H139" s="3">
        <f t="shared" si="1"/>
        <v>1.5393840000000002E-2</v>
      </c>
      <c r="I139" s="61">
        <f t="shared" si="6"/>
        <v>0.10262560000000003</v>
      </c>
      <c r="J139" s="3">
        <f t="shared" si="16"/>
        <v>0.16302009000000001</v>
      </c>
      <c r="K139" s="61">
        <f t="shared" si="3"/>
        <v>1.0868006000000001</v>
      </c>
      <c r="L139" s="4">
        <f t="shared" si="14"/>
        <v>2.8571428571428572</v>
      </c>
    </row>
    <row r="140" spans="1:12" x14ac:dyDescent="0.25">
      <c r="A140" s="1">
        <v>6</v>
      </c>
      <c r="B140" s="1">
        <v>20</v>
      </c>
      <c r="C140" s="1" t="s">
        <v>55</v>
      </c>
      <c r="D140" s="1" t="s">
        <v>58</v>
      </c>
      <c r="E140" s="1" t="s">
        <v>53</v>
      </c>
      <c r="F140">
        <v>13</v>
      </c>
      <c r="G140">
        <v>6</v>
      </c>
      <c r="H140" s="3">
        <f t="shared" si="1"/>
        <v>1.3273260000000002E-2</v>
      </c>
      <c r="I140" s="61">
        <f t="shared" si="6"/>
        <v>8.8488400000000023E-2</v>
      </c>
      <c r="J140" s="3">
        <f t="shared" si="16"/>
        <v>0.15548725200000002</v>
      </c>
      <c r="K140" s="61">
        <f t="shared" si="3"/>
        <v>1.0365816800000003</v>
      </c>
      <c r="L140" s="4">
        <f t="shared" si="14"/>
        <v>2.8571428571428572</v>
      </c>
    </row>
    <row r="141" spans="1:12" x14ac:dyDescent="0.25">
      <c r="A141" s="1">
        <v>6</v>
      </c>
      <c r="B141" s="1">
        <v>21</v>
      </c>
      <c r="C141" s="1" t="s">
        <v>55</v>
      </c>
      <c r="D141" s="1" t="s">
        <v>58</v>
      </c>
      <c r="E141" s="1" t="s">
        <v>53</v>
      </c>
      <c r="F141">
        <v>10</v>
      </c>
      <c r="G141">
        <v>5</v>
      </c>
      <c r="H141" s="3">
        <f t="shared" si="1"/>
        <v>7.8540000000000016E-3</v>
      </c>
      <c r="I141" s="61">
        <f t="shared" si="6"/>
        <v>5.2360000000000011E-2</v>
      </c>
      <c r="J141" s="3">
        <f t="shared" si="16"/>
        <v>0.13158676599999999</v>
      </c>
      <c r="K141" s="61">
        <f t="shared" si="3"/>
        <v>0.87724510666666666</v>
      </c>
      <c r="L141" s="4">
        <f t="shared" si="14"/>
        <v>2.8571428571428572</v>
      </c>
    </row>
    <row r="142" spans="1:12" x14ac:dyDescent="0.25">
      <c r="A142" s="1">
        <v>6</v>
      </c>
      <c r="B142" s="1">
        <v>22</v>
      </c>
      <c r="C142" s="1" t="s">
        <v>70</v>
      </c>
      <c r="D142" s="1" t="s">
        <v>63</v>
      </c>
      <c r="E142" s="1" t="s">
        <v>53</v>
      </c>
      <c r="F142">
        <v>12</v>
      </c>
      <c r="G142">
        <v>6</v>
      </c>
      <c r="H142" s="3">
        <f t="shared" si="1"/>
        <v>1.130976E-2</v>
      </c>
      <c r="I142" s="61">
        <f t="shared" si="6"/>
        <v>7.5398400000000004E-2</v>
      </c>
      <c r="J142" s="3">
        <f t="shared" ref="J142:J144" si="17">(0.0134651922+0.0000289134*(F142^2*G142))</f>
        <v>3.8446369800000005E-2</v>
      </c>
      <c r="K142" s="61">
        <f t="shared" si="3"/>
        <v>0.25630913200000005</v>
      </c>
      <c r="L142" s="4">
        <f t="shared" si="14"/>
        <v>2.8571428571428572</v>
      </c>
    </row>
    <row r="143" spans="1:12" x14ac:dyDescent="0.25">
      <c r="A143" s="1">
        <v>6</v>
      </c>
      <c r="B143" s="1">
        <v>23</v>
      </c>
      <c r="C143" s="1" t="s">
        <v>70</v>
      </c>
      <c r="D143" s="1" t="s">
        <v>63</v>
      </c>
      <c r="E143" s="1" t="s">
        <v>53</v>
      </c>
      <c r="F143">
        <v>17</v>
      </c>
      <c r="G143">
        <v>7</v>
      </c>
      <c r="H143" s="3">
        <f t="shared" si="1"/>
        <v>2.2698060000000003E-2</v>
      </c>
      <c r="I143" s="61">
        <f t="shared" si="6"/>
        <v>0.15132040000000002</v>
      </c>
      <c r="J143" s="3">
        <f t="shared" si="17"/>
        <v>7.1957000399999999E-2</v>
      </c>
      <c r="K143" s="61">
        <f t="shared" si="3"/>
        <v>0.47971333599999999</v>
      </c>
      <c r="L143" s="4">
        <f t="shared" si="14"/>
        <v>2.8571428571428572</v>
      </c>
    </row>
    <row r="144" spans="1:12" x14ac:dyDescent="0.25">
      <c r="A144" s="1">
        <v>6</v>
      </c>
      <c r="B144" s="1">
        <v>24</v>
      </c>
      <c r="C144" s="1" t="s">
        <v>70</v>
      </c>
      <c r="D144" s="1" t="s">
        <v>63</v>
      </c>
      <c r="E144" s="1" t="s">
        <v>53</v>
      </c>
      <c r="F144">
        <v>16</v>
      </c>
      <c r="G144">
        <v>6</v>
      </c>
      <c r="H144" s="3">
        <f t="shared" si="1"/>
        <v>2.0106240000000001E-2</v>
      </c>
      <c r="I144" s="61">
        <f t="shared" si="6"/>
        <v>0.13404160000000001</v>
      </c>
      <c r="J144" s="3">
        <f t="shared" si="17"/>
        <v>5.7876174599999997E-2</v>
      </c>
      <c r="K144" s="61">
        <f t="shared" si="3"/>
        <v>0.38584116400000001</v>
      </c>
      <c r="L144" s="4">
        <f t="shared" si="14"/>
        <v>2.8571428571428572</v>
      </c>
    </row>
    <row r="145" spans="1:12" x14ac:dyDescent="0.25">
      <c r="A145" s="1">
        <v>6</v>
      </c>
      <c r="B145" s="1">
        <v>25</v>
      </c>
      <c r="C145" s="1" t="s">
        <v>52</v>
      </c>
      <c r="D145" s="1" t="s">
        <v>57</v>
      </c>
      <c r="E145" s="1" t="s">
        <v>53</v>
      </c>
      <c r="F145">
        <v>18</v>
      </c>
      <c r="G145">
        <v>8</v>
      </c>
      <c r="H145" s="3">
        <f t="shared" si="1"/>
        <v>2.5446959999999998E-2</v>
      </c>
      <c r="I145" s="61">
        <f t="shared" si="6"/>
        <v>0.1696464</v>
      </c>
      <c r="J145" s="3">
        <f>(0.0050811768+0.0000286052*(F145^2*G145))</f>
        <v>7.92258552E-2</v>
      </c>
      <c r="K145" s="61">
        <f t="shared" si="3"/>
        <v>0.528172368</v>
      </c>
      <c r="L145" s="4">
        <f t="shared" si="14"/>
        <v>2.8571428571428572</v>
      </c>
    </row>
    <row r="146" spans="1:12" x14ac:dyDescent="0.25">
      <c r="A146" s="1">
        <v>6</v>
      </c>
      <c r="B146" s="1">
        <v>26</v>
      </c>
      <c r="C146" s="1" t="s">
        <v>70</v>
      </c>
      <c r="D146" s="1" t="s">
        <v>63</v>
      </c>
      <c r="E146" s="1" t="s">
        <v>53</v>
      </c>
      <c r="F146">
        <v>14</v>
      </c>
      <c r="G146">
        <v>6</v>
      </c>
      <c r="H146" s="3">
        <f t="shared" si="1"/>
        <v>1.5393840000000002E-2</v>
      </c>
      <c r="I146" s="61">
        <f t="shared" si="6"/>
        <v>0.10262560000000003</v>
      </c>
      <c r="J146" s="3">
        <f t="shared" ref="J146:J149" si="18">(0.0134651922+0.0000289134*(F146^2*G146))</f>
        <v>4.74673506E-2</v>
      </c>
      <c r="K146" s="61">
        <f t="shared" si="3"/>
        <v>0.31644900400000003</v>
      </c>
      <c r="L146" s="4">
        <f t="shared" si="14"/>
        <v>2.8571428571428572</v>
      </c>
    </row>
    <row r="147" spans="1:12" x14ac:dyDescent="0.25">
      <c r="A147" s="1">
        <v>6</v>
      </c>
      <c r="B147" s="1">
        <v>27</v>
      </c>
      <c r="C147" s="1" t="s">
        <v>70</v>
      </c>
      <c r="D147" s="1" t="s">
        <v>63</v>
      </c>
      <c r="E147" s="1" t="s">
        <v>53</v>
      </c>
      <c r="F147">
        <v>18</v>
      </c>
      <c r="G147">
        <v>8</v>
      </c>
      <c r="H147" s="3">
        <f t="shared" si="1"/>
        <v>2.5446959999999998E-2</v>
      </c>
      <c r="I147" s="61">
        <f t="shared" si="6"/>
        <v>0.1696464</v>
      </c>
      <c r="J147" s="3">
        <f t="shared" si="18"/>
        <v>8.8408725000000007E-2</v>
      </c>
      <c r="K147" s="61">
        <f t="shared" si="3"/>
        <v>0.58939150000000007</v>
      </c>
      <c r="L147" s="4">
        <f t="shared" si="14"/>
        <v>2.8571428571428572</v>
      </c>
    </row>
    <row r="148" spans="1:12" x14ac:dyDescent="0.25">
      <c r="A148" s="1">
        <v>6</v>
      </c>
      <c r="B148" s="1">
        <v>28</v>
      </c>
      <c r="C148" s="1" t="s">
        <v>70</v>
      </c>
      <c r="D148" s="1" t="s">
        <v>63</v>
      </c>
      <c r="E148" s="1" t="s">
        <v>53</v>
      </c>
      <c r="F148">
        <v>19</v>
      </c>
      <c r="G148">
        <v>8</v>
      </c>
      <c r="H148" s="3">
        <f t="shared" si="1"/>
        <v>2.835294E-2</v>
      </c>
      <c r="I148" s="61">
        <f t="shared" si="6"/>
        <v>0.18901960000000001</v>
      </c>
      <c r="J148" s="3">
        <f t="shared" si="18"/>
        <v>9.6967091399999997E-2</v>
      </c>
      <c r="K148" s="61">
        <f t="shared" si="3"/>
        <v>0.64644727599999996</v>
      </c>
      <c r="L148" s="4">
        <f t="shared" si="14"/>
        <v>2.8571428571428572</v>
      </c>
    </row>
    <row r="149" spans="1:12" x14ac:dyDescent="0.25">
      <c r="A149" s="1">
        <v>6</v>
      </c>
      <c r="B149" s="1">
        <v>29</v>
      </c>
      <c r="C149" s="1" t="s">
        <v>70</v>
      </c>
      <c r="D149" s="1" t="s">
        <v>63</v>
      </c>
      <c r="E149" s="1" t="s">
        <v>53</v>
      </c>
      <c r="F149">
        <v>15</v>
      </c>
      <c r="G149">
        <v>6</v>
      </c>
      <c r="H149" s="3">
        <f t="shared" si="1"/>
        <v>1.76715E-2</v>
      </c>
      <c r="I149" s="61">
        <f t="shared" si="6"/>
        <v>0.11781</v>
      </c>
      <c r="J149" s="3">
        <f t="shared" si="18"/>
        <v>5.2498282199999996E-2</v>
      </c>
      <c r="K149" s="61">
        <f t="shared" si="3"/>
        <v>0.34998854800000001</v>
      </c>
      <c r="L149" s="4">
        <f t="shared" si="14"/>
        <v>2.8571428571428572</v>
      </c>
    </row>
    <row r="150" spans="1:12" x14ac:dyDescent="0.25">
      <c r="A150" s="1">
        <v>6</v>
      </c>
      <c r="B150" s="1">
        <v>30</v>
      </c>
      <c r="C150" s="1" t="s">
        <v>55</v>
      </c>
      <c r="D150" s="1" t="s">
        <v>58</v>
      </c>
      <c r="E150" s="1" t="s">
        <v>53</v>
      </c>
      <c r="F150">
        <v>16</v>
      </c>
      <c r="G150">
        <v>7</v>
      </c>
      <c r="H150" s="3">
        <f t="shared" si="1"/>
        <v>2.0106240000000001E-2</v>
      </c>
      <c r="I150" s="61">
        <f t="shared" si="6"/>
        <v>0.13404160000000001</v>
      </c>
      <c r="J150" s="3">
        <f t="shared" ref="J150:J154" si="19">(0.108337266+0.000046499*(F150^2*G150))</f>
        <v>0.191663474</v>
      </c>
      <c r="K150" s="61">
        <f t="shared" si="3"/>
        <v>1.2777564933333334</v>
      </c>
      <c r="L150" s="4">
        <f t="shared" si="14"/>
        <v>2.8571428571428572</v>
      </c>
    </row>
    <row r="151" spans="1:12" x14ac:dyDescent="0.25">
      <c r="A151" s="1">
        <v>6</v>
      </c>
      <c r="B151" s="1">
        <v>31</v>
      </c>
      <c r="C151" s="1" t="s">
        <v>55</v>
      </c>
      <c r="D151" s="1" t="s">
        <v>58</v>
      </c>
      <c r="E151" s="1" t="s">
        <v>53</v>
      </c>
      <c r="F151">
        <v>14</v>
      </c>
      <c r="G151">
        <v>5</v>
      </c>
      <c r="H151" s="3">
        <f t="shared" si="1"/>
        <v>1.5393840000000002E-2</v>
      </c>
      <c r="I151" s="61">
        <f t="shared" si="6"/>
        <v>0.10262560000000003</v>
      </c>
      <c r="J151" s="3">
        <f t="shared" si="19"/>
        <v>0.153906286</v>
      </c>
      <c r="K151" s="61">
        <f t="shared" si="3"/>
        <v>1.0260419066666668</v>
      </c>
      <c r="L151" s="4">
        <f t="shared" si="14"/>
        <v>2.8571428571428572</v>
      </c>
    </row>
    <row r="152" spans="1:12" x14ac:dyDescent="0.25">
      <c r="A152" s="1">
        <v>6</v>
      </c>
      <c r="B152" s="1">
        <v>32</v>
      </c>
      <c r="C152" s="1" t="s">
        <v>55</v>
      </c>
      <c r="D152" s="1" t="s">
        <v>58</v>
      </c>
      <c r="E152" s="1" t="s">
        <v>53</v>
      </c>
      <c r="F152">
        <v>12</v>
      </c>
      <c r="G152">
        <v>5</v>
      </c>
      <c r="H152" s="3">
        <f t="shared" si="1"/>
        <v>1.130976E-2</v>
      </c>
      <c r="I152" s="61">
        <f t="shared" si="6"/>
        <v>7.5398400000000004E-2</v>
      </c>
      <c r="J152" s="3">
        <f t="shared" si="19"/>
        <v>0.14181654599999999</v>
      </c>
      <c r="K152" s="61">
        <f t="shared" si="3"/>
        <v>0.94544363999999992</v>
      </c>
      <c r="L152" s="4">
        <f t="shared" si="14"/>
        <v>2.8571428571428572</v>
      </c>
    </row>
    <row r="153" spans="1:12" x14ac:dyDescent="0.25">
      <c r="A153" s="1">
        <v>6</v>
      </c>
      <c r="B153" s="1">
        <v>33</v>
      </c>
      <c r="C153" s="1" t="s">
        <v>64</v>
      </c>
      <c r="D153" s="63" t="s">
        <v>68</v>
      </c>
      <c r="E153" s="1" t="s">
        <v>53</v>
      </c>
      <c r="F153">
        <v>14</v>
      </c>
      <c r="G153">
        <v>5</v>
      </c>
      <c r="H153" s="3">
        <f t="shared" si="1"/>
        <v>1.5393840000000002E-2</v>
      </c>
      <c r="I153" s="61">
        <f t="shared" si="6"/>
        <v>0.10262560000000003</v>
      </c>
      <c r="J153" s="3">
        <f t="shared" si="19"/>
        <v>0.153906286</v>
      </c>
      <c r="K153" s="61">
        <f t="shared" si="3"/>
        <v>1.0260419066666668</v>
      </c>
      <c r="L153" s="4">
        <f t="shared" si="14"/>
        <v>2.8571428571428572</v>
      </c>
    </row>
    <row r="154" spans="1:12" x14ac:dyDescent="0.25">
      <c r="A154" s="1">
        <v>6</v>
      </c>
      <c r="B154" s="1">
        <v>34</v>
      </c>
      <c r="C154" s="1" t="s">
        <v>55</v>
      </c>
      <c r="D154" s="1" t="s">
        <v>58</v>
      </c>
      <c r="E154" s="1" t="s">
        <v>53</v>
      </c>
      <c r="F154">
        <v>12</v>
      </c>
      <c r="G154">
        <v>5</v>
      </c>
      <c r="H154" s="3">
        <f t="shared" si="1"/>
        <v>1.130976E-2</v>
      </c>
      <c r="I154" s="61">
        <f t="shared" si="6"/>
        <v>7.5398400000000004E-2</v>
      </c>
      <c r="J154" s="3">
        <f t="shared" si="19"/>
        <v>0.14181654599999999</v>
      </c>
      <c r="K154" s="61">
        <f t="shared" si="3"/>
        <v>0.94544363999999992</v>
      </c>
      <c r="L154" s="4">
        <f t="shared" si="14"/>
        <v>2.8571428571428572</v>
      </c>
    </row>
    <row r="155" spans="1:12" x14ac:dyDescent="0.25">
      <c r="A155" s="1">
        <v>6</v>
      </c>
      <c r="B155" s="1">
        <v>35</v>
      </c>
      <c r="C155" s="1" t="s">
        <v>70</v>
      </c>
      <c r="D155" s="1" t="s">
        <v>63</v>
      </c>
      <c r="E155" s="1" t="s">
        <v>53</v>
      </c>
      <c r="F155">
        <v>16</v>
      </c>
      <c r="G155">
        <v>6</v>
      </c>
      <c r="H155" s="3">
        <f t="shared" si="1"/>
        <v>2.0106240000000001E-2</v>
      </c>
      <c r="I155" s="61">
        <f t="shared" si="6"/>
        <v>0.13404160000000001</v>
      </c>
      <c r="J155" s="3">
        <f t="shared" ref="J155:J156" si="20">(0.0134651922+0.0000289134*(F155^2*G155))</f>
        <v>5.7876174599999997E-2</v>
      </c>
      <c r="K155" s="61">
        <f t="shared" si="3"/>
        <v>0.38584116400000001</v>
      </c>
      <c r="L155" s="4">
        <f t="shared" si="14"/>
        <v>2.8571428571428572</v>
      </c>
    </row>
    <row r="156" spans="1:12" x14ac:dyDescent="0.25">
      <c r="A156" s="1">
        <v>6</v>
      </c>
      <c r="B156" s="1">
        <v>36</v>
      </c>
      <c r="C156" s="1" t="s">
        <v>70</v>
      </c>
      <c r="D156" s="1" t="s">
        <v>63</v>
      </c>
      <c r="E156" s="1" t="s">
        <v>53</v>
      </c>
      <c r="F156">
        <v>17</v>
      </c>
      <c r="G156">
        <v>7</v>
      </c>
      <c r="H156" s="3">
        <f t="shared" si="1"/>
        <v>2.2698060000000003E-2</v>
      </c>
      <c r="I156" s="61">
        <f t="shared" si="6"/>
        <v>0.15132040000000002</v>
      </c>
      <c r="J156" s="3">
        <f t="shared" si="20"/>
        <v>7.1957000399999999E-2</v>
      </c>
      <c r="K156" s="61">
        <f t="shared" si="3"/>
        <v>0.47971333599999999</v>
      </c>
      <c r="L156" s="4">
        <f t="shared" si="14"/>
        <v>2.8571428571428572</v>
      </c>
    </row>
    <row r="157" spans="1:12" x14ac:dyDescent="0.25">
      <c r="A157" s="1">
        <v>6</v>
      </c>
      <c r="B157" s="1">
        <v>37</v>
      </c>
      <c r="C157" s="1" t="s">
        <v>52</v>
      </c>
      <c r="D157" s="1" t="s">
        <v>57</v>
      </c>
      <c r="E157" s="1" t="s">
        <v>53</v>
      </c>
      <c r="F157">
        <v>18</v>
      </c>
      <c r="G157">
        <v>9</v>
      </c>
      <c r="H157" s="3">
        <f t="shared" si="1"/>
        <v>2.5446959999999998E-2</v>
      </c>
      <c r="I157" s="61">
        <f t="shared" si="6"/>
        <v>0.1696464</v>
      </c>
      <c r="J157" s="3">
        <f>(0.0050811768+0.0000286052*(F157^2*G157))</f>
        <v>8.8493939999999993E-2</v>
      </c>
      <c r="K157" s="61">
        <f t="shared" si="3"/>
        <v>0.58995960000000003</v>
      </c>
      <c r="L157" s="4">
        <f t="shared" si="14"/>
        <v>2.8571428571428572</v>
      </c>
    </row>
    <row r="158" spans="1:12" x14ac:dyDescent="0.25">
      <c r="A158">
        <v>7</v>
      </c>
      <c r="B158">
        <v>1</v>
      </c>
      <c r="C158" s="1" t="s">
        <v>64</v>
      </c>
      <c r="D158" s="63" t="s">
        <v>68</v>
      </c>
      <c r="E158" s="1" t="s">
        <v>53</v>
      </c>
      <c r="F158">
        <v>17</v>
      </c>
      <c r="G158">
        <v>5</v>
      </c>
      <c r="H158" s="3">
        <f t="shared" si="1"/>
        <v>2.2698060000000003E-2</v>
      </c>
      <c r="I158" s="61">
        <f t="shared" si="6"/>
        <v>0.15132040000000002</v>
      </c>
      <c r="J158" s="3">
        <f>(0.108337266+0.000046499*(F158^2*G158))</f>
        <v>0.17552832099999999</v>
      </c>
      <c r="K158" s="61">
        <f t="shared" si="3"/>
        <v>1.1701888066666666</v>
      </c>
      <c r="L158" s="4">
        <f t="shared" si="14"/>
        <v>2.8571428571428572</v>
      </c>
    </row>
    <row r="159" spans="1:12" x14ac:dyDescent="0.25">
      <c r="A159">
        <v>7</v>
      </c>
      <c r="B159">
        <v>2</v>
      </c>
      <c r="C159" s="1" t="s">
        <v>70</v>
      </c>
      <c r="D159" s="1" t="s">
        <v>63</v>
      </c>
      <c r="E159" s="1" t="s">
        <v>53</v>
      </c>
      <c r="F159">
        <v>16</v>
      </c>
      <c r="G159">
        <v>7</v>
      </c>
      <c r="H159" s="3">
        <f t="shared" si="1"/>
        <v>2.0106240000000001E-2</v>
      </c>
      <c r="I159" s="61">
        <f t="shared" si="6"/>
        <v>0.13404160000000001</v>
      </c>
      <c r="J159" s="3">
        <f t="shared" ref="J159:J161" si="21">(0.0134651922+0.0000289134*(F159^2*G159))</f>
        <v>6.5278005E-2</v>
      </c>
      <c r="K159" s="61">
        <f t="shared" si="3"/>
        <v>0.43518670000000004</v>
      </c>
      <c r="L159" s="4">
        <f t="shared" si="14"/>
        <v>2.8571428571428572</v>
      </c>
    </row>
    <row r="160" spans="1:12" x14ac:dyDescent="0.25">
      <c r="A160" s="1">
        <v>7</v>
      </c>
      <c r="B160">
        <v>3</v>
      </c>
      <c r="C160" s="1" t="s">
        <v>70</v>
      </c>
      <c r="D160" s="1" t="s">
        <v>63</v>
      </c>
      <c r="E160" s="1" t="s">
        <v>53</v>
      </c>
      <c r="F160">
        <v>15</v>
      </c>
      <c r="G160">
        <v>6</v>
      </c>
      <c r="H160" s="3">
        <f t="shared" si="1"/>
        <v>1.76715E-2</v>
      </c>
      <c r="I160" s="61">
        <f t="shared" si="6"/>
        <v>0.11781</v>
      </c>
      <c r="J160" s="3">
        <f t="shared" si="21"/>
        <v>5.2498282199999996E-2</v>
      </c>
      <c r="K160" s="61">
        <f t="shared" si="3"/>
        <v>0.34998854800000001</v>
      </c>
      <c r="L160" s="4">
        <f t="shared" si="14"/>
        <v>2.8571428571428572</v>
      </c>
    </row>
    <row r="161" spans="1:12" x14ac:dyDescent="0.25">
      <c r="A161" s="1">
        <v>7</v>
      </c>
      <c r="B161">
        <v>4</v>
      </c>
      <c r="C161" s="1" t="s">
        <v>70</v>
      </c>
      <c r="D161" s="1" t="s">
        <v>63</v>
      </c>
      <c r="E161" s="1" t="s">
        <v>53</v>
      </c>
      <c r="F161">
        <v>18</v>
      </c>
      <c r="G161">
        <v>7</v>
      </c>
      <c r="H161" s="3">
        <f t="shared" si="1"/>
        <v>2.5446959999999998E-2</v>
      </c>
      <c r="I161" s="61">
        <f t="shared" si="6"/>
        <v>0.1696464</v>
      </c>
      <c r="J161" s="3">
        <f t="shared" si="21"/>
        <v>7.9040783400000009E-2</v>
      </c>
      <c r="K161" s="61">
        <f t="shared" si="3"/>
        <v>0.52693855600000006</v>
      </c>
      <c r="L161" s="4">
        <f t="shared" si="14"/>
        <v>2.8571428571428572</v>
      </c>
    </row>
    <row r="162" spans="1:12" x14ac:dyDescent="0.25">
      <c r="A162" s="1">
        <v>7</v>
      </c>
      <c r="B162" s="1">
        <v>5</v>
      </c>
      <c r="C162" s="1" t="s">
        <v>64</v>
      </c>
      <c r="D162" s="63" t="s">
        <v>68</v>
      </c>
      <c r="E162" s="1" t="s">
        <v>53</v>
      </c>
      <c r="F162">
        <v>16</v>
      </c>
      <c r="G162">
        <v>5</v>
      </c>
      <c r="H162" s="3">
        <f t="shared" si="1"/>
        <v>2.0106240000000001E-2</v>
      </c>
      <c r="I162" s="61">
        <f t="shared" si="6"/>
        <v>0.13404160000000001</v>
      </c>
      <c r="J162" s="3">
        <f>(0.108337266+0.000046499*(F162^2*G162))</f>
        <v>0.16785598600000001</v>
      </c>
      <c r="K162" s="61">
        <f t="shared" si="3"/>
        <v>1.1190399066666668</v>
      </c>
      <c r="L162" s="4">
        <f t="shared" si="14"/>
        <v>2.8571428571428572</v>
      </c>
    </row>
    <row r="163" spans="1:12" x14ac:dyDescent="0.25">
      <c r="A163" s="1">
        <v>7</v>
      </c>
      <c r="B163" s="1">
        <v>6</v>
      </c>
      <c r="C163" s="1" t="s">
        <v>70</v>
      </c>
      <c r="D163" s="1" t="s">
        <v>63</v>
      </c>
      <c r="E163" s="1" t="s">
        <v>53</v>
      </c>
      <c r="F163">
        <v>18</v>
      </c>
      <c r="G163">
        <v>8</v>
      </c>
      <c r="H163" s="3">
        <f t="shared" si="1"/>
        <v>2.5446959999999998E-2</v>
      </c>
      <c r="I163" s="61">
        <f t="shared" si="6"/>
        <v>0.1696464</v>
      </c>
      <c r="J163" s="3">
        <f>(0.0134651922+0.0000289134*(F163^2*G163))</f>
        <v>8.8408725000000007E-2</v>
      </c>
      <c r="K163" s="61">
        <f t="shared" si="3"/>
        <v>0.58939150000000007</v>
      </c>
      <c r="L163" s="4">
        <f t="shared" si="14"/>
        <v>2.8571428571428572</v>
      </c>
    </row>
    <row r="164" spans="1:12" x14ac:dyDescent="0.25">
      <c r="A164" s="1">
        <v>7</v>
      </c>
      <c r="B164" s="1">
        <v>7</v>
      </c>
      <c r="C164" s="1" t="s">
        <v>56</v>
      </c>
      <c r="D164" s="1" t="s">
        <v>59</v>
      </c>
      <c r="E164" s="1" t="s">
        <v>53</v>
      </c>
      <c r="F164">
        <v>15</v>
      </c>
      <c r="G164">
        <v>5</v>
      </c>
      <c r="H164" s="3">
        <f t="shared" si="1"/>
        <v>1.76715E-2</v>
      </c>
      <c r="I164" s="61">
        <f t="shared" si="6"/>
        <v>0.11781</v>
      </c>
      <c r="J164" s="3">
        <f>(0.108337266+0.000046499*(F164^2*G164))</f>
        <v>0.16064864100000001</v>
      </c>
      <c r="K164" s="61">
        <f t="shared" si="3"/>
        <v>1.0709909400000002</v>
      </c>
      <c r="L164" s="4">
        <f t="shared" si="14"/>
        <v>2.8571428571428572</v>
      </c>
    </row>
    <row r="165" spans="1:12" x14ac:dyDescent="0.25">
      <c r="A165" s="1">
        <v>7</v>
      </c>
      <c r="B165" s="1">
        <v>8</v>
      </c>
      <c r="C165" s="1" t="s">
        <v>70</v>
      </c>
      <c r="D165" s="1" t="s">
        <v>63</v>
      </c>
      <c r="E165" s="1" t="s">
        <v>53</v>
      </c>
      <c r="F165">
        <v>18</v>
      </c>
      <c r="G165">
        <v>7</v>
      </c>
      <c r="H165" s="3">
        <f t="shared" si="1"/>
        <v>2.5446959999999998E-2</v>
      </c>
      <c r="I165" s="61">
        <f t="shared" si="6"/>
        <v>0.1696464</v>
      </c>
      <c r="J165" s="3">
        <f t="shared" ref="J165:J171" si="22">(0.0134651922+0.0000289134*(F165^2*G165))</f>
        <v>7.9040783400000009E-2</v>
      </c>
      <c r="K165" s="61">
        <f t="shared" si="3"/>
        <v>0.52693855600000006</v>
      </c>
      <c r="L165" s="4">
        <f t="shared" si="14"/>
        <v>2.8571428571428572</v>
      </c>
    </row>
    <row r="166" spans="1:12" x14ac:dyDescent="0.25">
      <c r="A166" s="1">
        <v>7</v>
      </c>
      <c r="B166" s="1">
        <v>9</v>
      </c>
      <c r="C166" s="1" t="s">
        <v>70</v>
      </c>
      <c r="D166" s="1" t="s">
        <v>63</v>
      </c>
      <c r="E166" s="1" t="s">
        <v>53</v>
      </c>
      <c r="F166">
        <v>14</v>
      </c>
      <c r="G166">
        <v>6</v>
      </c>
      <c r="H166" s="3">
        <f t="shared" si="1"/>
        <v>1.5393840000000002E-2</v>
      </c>
      <c r="I166" s="61">
        <f t="shared" si="6"/>
        <v>0.10262560000000003</v>
      </c>
      <c r="J166" s="3">
        <f t="shared" si="22"/>
        <v>4.74673506E-2</v>
      </c>
      <c r="K166" s="61">
        <f t="shared" si="3"/>
        <v>0.31644900400000003</v>
      </c>
      <c r="L166" s="4">
        <f t="shared" si="14"/>
        <v>2.8571428571428572</v>
      </c>
    </row>
    <row r="167" spans="1:12" x14ac:dyDescent="0.25">
      <c r="A167" s="1">
        <v>7</v>
      </c>
      <c r="B167" s="1">
        <v>10</v>
      </c>
      <c r="C167" s="1" t="s">
        <v>70</v>
      </c>
      <c r="D167" s="1" t="s">
        <v>63</v>
      </c>
      <c r="E167" s="1" t="s">
        <v>53</v>
      </c>
      <c r="F167">
        <v>18</v>
      </c>
      <c r="G167">
        <v>8</v>
      </c>
      <c r="H167" s="3">
        <f t="shared" si="1"/>
        <v>2.5446959999999998E-2</v>
      </c>
      <c r="I167" s="61">
        <f t="shared" si="6"/>
        <v>0.1696464</v>
      </c>
      <c r="J167" s="3">
        <f t="shared" si="22"/>
        <v>8.8408725000000007E-2</v>
      </c>
      <c r="K167" s="61">
        <f t="shared" si="3"/>
        <v>0.58939150000000007</v>
      </c>
      <c r="L167" s="4">
        <f t="shared" si="14"/>
        <v>2.8571428571428572</v>
      </c>
    </row>
    <row r="168" spans="1:12" x14ac:dyDescent="0.25">
      <c r="A168" s="1">
        <v>7</v>
      </c>
      <c r="B168" s="1">
        <v>11</v>
      </c>
      <c r="C168" s="1" t="s">
        <v>70</v>
      </c>
      <c r="D168" s="1" t="s">
        <v>63</v>
      </c>
      <c r="E168" s="1" t="s">
        <v>53</v>
      </c>
      <c r="F168">
        <v>16</v>
      </c>
      <c r="G168">
        <v>7</v>
      </c>
      <c r="H168" s="3">
        <f t="shared" si="1"/>
        <v>2.0106240000000001E-2</v>
      </c>
      <c r="I168" s="61">
        <f t="shared" si="6"/>
        <v>0.13404160000000001</v>
      </c>
      <c r="J168" s="3">
        <f t="shared" si="22"/>
        <v>6.5278005E-2</v>
      </c>
      <c r="K168" s="61">
        <f t="shared" si="3"/>
        <v>0.43518670000000004</v>
      </c>
      <c r="L168" s="4">
        <f t="shared" si="14"/>
        <v>2.8571428571428572</v>
      </c>
    </row>
    <row r="169" spans="1:12" x14ac:dyDescent="0.25">
      <c r="A169" s="1">
        <v>7</v>
      </c>
      <c r="B169" s="1">
        <v>12</v>
      </c>
      <c r="C169" s="1" t="s">
        <v>70</v>
      </c>
      <c r="D169" s="1" t="s">
        <v>63</v>
      </c>
      <c r="E169" s="1" t="s">
        <v>54</v>
      </c>
      <c r="F169">
        <v>22</v>
      </c>
      <c r="G169">
        <v>10</v>
      </c>
      <c r="H169" s="3">
        <f t="shared" si="1"/>
        <v>3.8013359999999996E-2</v>
      </c>
      <c r="I169" s="61">
        <f t="shared" si="6"/>
        <v>0.25342239999999999</v>
      </c>
      <c r="J169" s="3">
        <f t="shared" si="22"/>
        <v>0.15340604820000001</v>
      </c>
      <c r="K169" s="61">
        <f t="shared" si="3"/>
        <v>1.0227069880000002</v>
      </c>
      <c r="L169" s="4">
        <f t="shared" si="14"/>
        <v>2.8571428571428572</v>
      </c>
    </row>
    <row r="170" spans="1:12" x14ac:dyDescent="0.25">
      <c r="A170" s="1">
        <v>7</v>
      </c>
      <c r="B170" s="1">
        <v>13</v>
      </c>
      <c r="C170" s="1" t="s">
        <v>70</v>
      </c>
      <c r="D170" s="1" t="s">
        <v>63</v>
      </c>
      <c r="E170" s="1" t="s">
        <v>53</v>
      </c>
      <c r="F170">
        <v>16</v>
      </c>
      <c r="G170">
        <v>6</v>
      </c>
      <c r="H170" s="3">
        <f t="shared" si="1"/>
        <v>2.0106240000000001E-2</v>
      </c>
      <c r="I170" s="61">
        <f t="shared" si="6"/>
        <v>0.13404160000000001</v>
      </c>
      <c r="J170" s="3">
        <f t="shared" si="22"/>
        <v>5.7876174599999997E-2</v>
      </c>
      <c r="K170" s="61">
        <f t="shared" si="3"/>
        <v>0.38584116400000001</v>
      </c>
      <c r="L170" s="4">
        <f t="shared" si="14"/>
        <v>2.8571428571428572</v>
      </c>
    </row>
    <row r="171" spans="1:12" x14ac:dyDescent="0.25">
      <c r="A171" s="1">
        <v>7</v>
      </c>
      <c r="B171" s="1">
        <v>14</v>
      </c>
      <c r="C171" s="1" t="s">
        <v>70</v>
      </c>
      <c r="D171" s="1" t="s">
        <v>63</v>
      </c>
      <c r="E171" s="1" t="s">
        <v>53</v>
      </c>
      <c r="F171">
        <v>18</v>
      </c>
      <c r="G171">
        <v>7</v>
      </c>
      <c r="H171" s="3">
        <f t="shared" si="1"/>
        <v>2.5446959999999998E-2</v>
      </c>
      <c r="I171" s="61">
        <f t="shared" si="6"/>
        <v>0.1696464</v>
      </c>
      <c r="J171" s="3">
        <f t="shared" si="22"/>
        <v>7.9040783400000009E-2</v>
      </c>
      <c r="K171" s="61">
        <f t="shared" si="3"/>
        <v>0.52693855600000006</v>
      </c>
      <c r="L171" s="4">
        <f t="shared" si="14"/>
        <v>2.8571428571428572</v>
      </c>
    </row>
    <row r="172" spans="1:12" x14ac:dyDescent="0.25">
      <c r="A172" s="1">
        <v>7</v>
      </c>
      <c r="B172" s="1">
        <v>15</v>
      </c>
      <c r="C172" s="1" t="s">
        <v>56</v>
      </c>
      <c r="D172" s="1" t="s">
        <v>59</v>
      </c>
      <c r="E172" s="1" t="s">
        <v>53</v>
      </c>
      <c r="F172">
        <v>17</v>
      </c>
      <c r="G172">
        <v>6</v>
      </c>
      <c r="H172" s="3">
        <f t="shared" si="1"/>
        <v>2.2698060000000003E-2</v>
      </c>
      <c r="I172" s="61">
        <f t="shared" si="6"/>
        <v>0.15132040000000002</v>
      </c>
      <c r="J172" s="3">
        <f t="shared" ref="J172:J181" si="23">(0.108337266+0.000046499*(F172^2*G172))</f>
        <v>0.18896653200000002</v>
      </c>
      <c r="K172" s="61">
        <f t="shared" si="3"/>
        <v>1.2597768800000002</v>
      </c>
      <c r="L172" s="4">
        <f t="shared" si="14"/>
        <v>2.8571428571428572</v>
      </c>
    </row>
    <row r="173" spans="1:12" x14ac:dyDescent="0.25">
      <c r="A173" s="1">
        <v>7</v>
      </c>
      <c r="B173" s="1">
        <v>16</v>
      </c>
      <c r="C173" s="1" t="s">
        <v>56</v>
      </c>
      <c r="D173" s="1" t="s">
        <v>59</v>
      </c>
      <c r="E173" s="1" t="s">
        <v>53</v>
      </c>
      <c r="F173">
        <v>12</v>
      </c>
      <c r="G173">
        <v>5</v>
      </c>
      <c r="H173" s="3">
        <f t="shared" si="1"/>
        <v>1.130976E-2</v>
      </c>
      <c r="I173" s="61">
        <f t="shared" si="6"/>
        <v>7.5398400000000004E-2</v>
      </c>
      <c r="J173" s="3">
        <f t="shared" si="23"/>
        <v>0.14181654599999999</v>
      </c>
      <c r="K173" s="61">
        <f t="shared" si="3"/>
        <v>0.94544363999999992</v>
      </c>
      <c r="L173" s="4">
        <f t="shared" si="14"/>
        <v>2.8571428571428572</v>
      </c>
    </row>
    <row r="174" spans="1:12" x14ac:dyDescent="0.25">
      <c r="A174" s="1">
        <v>7</v>
      </c>
      <c r="B174" s="1">
        <v>17</v>
      </c>
      <c r="C174" s="1" t="s">
        <v>64</v>
      </c>
      <c r="D174" s="63" t="s">
        <v>68</v>
      </c>
      <c r="E174" s="1" t="s">
        <v>53</v>
      </c>
      <c r="F174">
        <v>14</v>
      </c>
      <c r="G174">
        <v>5</v>
      </c>
      <c r="H174" s="3">
        <f t="shared" si="1"/>
        <v>1.5393840000000002E-2</v>
      </c>
      <c r="I174" s="61">
        <f t="shared" si="6"/>
        <v>0.10262560000000003</v>
      </c>
      <c r="J174" s="3">
        <f t="shared" si="23"/>
        <v>0.153906286</v>
      </c>
      <c r="K174" s="61">
        <f t="shared" si="3"/>
        <v>1.0260419066666668</v>
      </c>
      <c r="L174" s="4">
        <f t="shared" si="14"/>
        <v>2.8571428571428572</v>
      </c>
    </row>
    <row r="175" spans="1:12" x14ac:dyDescent="0.25">
      <c r="A175" s="1">
        <v>7</v>
      </c>
      <c r="B175" s="1">
        <v>18</v>
      </c>
      <c r="C175" s="1" t="s">
        <v>64</v>
      </c>
      <c r="D175" s="63" t="s">
        <v>68</v>
      </c>
      <c r="E175" s="1" t="s">
        <v>53</v>
      </c>
      <c r="F175">
        <v>13</v>
      </c>
      <c r="G175">
        <v>5</v>
      </c>
      <c r="H175" s="3">
        <f t="shared" si="1"/>
        <v>1.3273260000000002E-2</v>
      </c>
      <c r="I175" s="61">
        <f t="shared" si="6"/>
        <v>8.8488400000000023E-2</v>
      </c>
      <c r="J175" s="3">
        <f t="shared" si="23"/>
        <v>0.147628921</v>
      </c>
      <c r="K175" s="61">
        <f t="shared" si="3"/>
        <v>0.98419280666666664</v>
      </c>
      <c r="L175" s="4">
        <f t="shared" si="14"/>
        <v>2.8571428571428572</v>
      </c>
    </row>
    <row r="176" spans="1:12" x14ac:dyDescent="0.25">
      <c r="A176" s="1">
        <v>7</v>
      </c>
      <c r="B176" s="1">
        <v>19</v>
      </c>
      <c r="C176" s="1" t="s">
        <v>56</v>
      </c>
      <c r="D176" s="1" t="s">
        <v>59</v>
      </c>
      <c r="E176" s="1" t="s">
        <v>53</v>
      </c>
      <c r="F176">
        <v>15</v>
      </c>
      <c r="G176">
        <v>7</v>
      </c>
      <c r="H176" s="3">
        <f t="shared" si="1"/>
        <v>1.76715E-2</v>
      </c>
      <c r="I176" s="61">
        <f t="shared" si="6"/>
        <v>0.11781</v>
      </c>
      <c r="J176" s="3">
        <f t="shared" si="23"/>
        <v>0.18157319100000002</v>
      </c>
      <c r="K176" s="61">
        <f t="shared" si="3"/>
        <v>1.2104879400000002</v>
      </c>
      <c r="L176" s="4">
        <f t="shared" si="14"/>
        <v>2.8571428571428572</v>
      </c>
    </row>
    <row r="177" spans="1:12" x14ac:dyDescent="0.25">
      <c r="A177" s="1">
        <v>7</v>
      </c>
      <c r="B177" s="1">
        <v>20</v>
      </c>
      <c r="C177" s="1" t="s">
        <v>56</v>
      </c>
      <c r="D177" s="1" t="s">
        <v>59</v>
      </c>
      <c r="E177" s="1" t="s">
        <v>53</v>
      </c>
      <c r="F177">
        <v>14</v>
      </c>
      <c r="G177">
        <v>7</v>
      </c>
      <c r="H177" s="3">
        <f t="shared" si="1"/>
        <v>1.5393840000000002E-2</v>
      </c>
      <c r="I177" s="61">
        <f t="shared" si="6"/>
        <v>0.10262560000000003</v>
      </c>
      <c r="J177" s="3">
        <f t="shared" si="23"/>
        <v>0.17213389400000001</v>
      </c>
      <c r="K177" s="61">
        <f t="shared" si="3"/>
        <v>1.1475592933333334</v>
      </c>
      <c r="L177" s="4">
        <f t="shared" si="14"/>
        <v>2.8571428571428572</v>
      </c>
    </row>
    <row r="178" spans="1:12" x14ac:dyDescent="0.25">
      <c r="A178" s="1">
        <v>7</v>
      </c>
      <c r="B178" s="1">
        <v>21</v>
      </c>
      <c r="C178" s="1" t="s">
        <v>56</v>
      </c>
      <c r="D178" s="1" t="s">
        <v>59</v>
      </c>
      <c r="E178" s="1" t="s">
        <v>53</v>
      </c>
      <c r="F178">
        <v>10</v>
      </c>
      <c r="G178">
        <v>5</v>
      </c>
      <c r="H178" s="3">
        <f t="shared" si="1"/>
        <v>7.8540000000000016E-3</v>
      </c>
      <c r="I178" s="61">
        <f t="shared" si="6"/>
        <v>5.2360000000000011E-2</v>
      </c>
      <c r="J178" s="3">
        <f t="shared" si="23"/>
        <v>0.13158676599999999</v>
      </c>
      <c r="K178" s="61">
        <f t="shared" si="3"/>
        <v>0.87724510666666666</v>
      </c>
      <c r="L178" s="4">
        <f t="shared" si="14"/>
        <v>2.8571428571428572</v>
      </c>
    </row>
    <row r="179" spans="1:12" x14ac:dyDescent="0.25">
      <c r="A179" s="1">
        <v>7</v>
      </c>
      <c r="B179" s="1">
        <v>22</v>
      </c>
      <c r="C179" s="1" t="s">
        <v>56</v>
      </c>
      <c r="D179" s="1" t="s">
        <v>59</v>
      </c>
      <c r="E179" s="1" t="s">
        <v>53</v>
      </c>
      <c r="F179">
        <v>10</v>
      </c>
      <c r="G179">
        <v>5</v>
      </c>
      <c r="H179" s="3">
        <f t="shared" si="1"/>
        <v>7.8540000000000016E-3</v>
      </c>
      <c r="I179" s="61">
        <f t="shared" si="6"/>
        <v>5.2360000000000011E-2</v>
      </c>
      <c r="J179" s="3">
        <f t="shared" si="23"/>
        <v>0.13158676599999999</v>
      </c>
      <c r="K179" s="61">
        <f t="shared" si="3"/>
        <v>0.87724510666666666</v>
      </c>
      <c r="L179" s="4">
        <f t="shared" si="14"/>
        <v>2.8571428571428572</v>
      </c>
    </row>
    <row r="180" spans="1:12" x14ac:dyDescent="0.25">
      <c r="A180" s="1">
        <v>7</v>
      </c>
      <c r="B180" s="1">
        <v>23</v>
      </c>
      <c r="C180" s="1" t="s">
        <v>56</v>
      </c>
      <c r="D180" s="1" t="s">
        <v>59</v>
      </c>
      <c r="E180" s="1" t="s">
        <v>53</v>
      </c>
      <c r="F180">
        <v>13</v>
      </c>
      <c r="G180">
        <v>6</v>
      </c>
      <c r="H180" s="3">
        <f t="shared" si="1"/>
        <v>1.3273260000000002E-2</v>
      </c>
      <c r="I180" s="61">
        <f t="shared" si="6"/>
        <v>8.8488400000000023E-2</v>
      </c>
      <c r="J180" s="3">
        <f t="shared" si="23"/>
        <v>0.15548725200000002</v>
      </c>
      <c r="K180" s="61">
        <f t="shared" si="3"/>
        <v>1.0365816800000003</v>
      </c>
      <c r="L180" s="4">
        <f t="shared" si="14"/>
        <v>2.8571428571428572</v>
      </c>
    </row>
    <row r="181" spans="1:12" x14ac:dyDescent="0.25">
      <c r="A181" s="1">
        <v>7</v>
      </c>
      <c r="B181" s="1">
        <v>24</v>
      </c>
      <c r="C181" s="1" t="s">
        <v>64</v>
      </c>
      <c r="D181" s="63" t="s">
        <v>68</v>
      </c>
      <c r="E181" s="1" t="s">
        <v>53</v>
      </c>
      <c r="F181">
        <v>16</v>
      </c>
      <c r="G181">
        <v>6</v>
      </c>
      <c r="H181" s="3">
        <f t="shared" si="1"/>
        <v>2.0106240000000001E-2</v>
      </c>
      <c r="I181" s="61">
        <f t="shared" si="6"/>
        <v>0.13404160000000001</v>
      </c>
      <c r="J181" s="3">
        <f t="shared" si="23"/>
        <v>0.17975973000000001</v>
      </c>
      <c r="K181" s="61">
        <f t="shared" si="3"/>
        <v>1.1983982000000002</v>
      </c>
      <c r="L181" s="4">
        <f t="shared" si="14"/>
        <v>2.8571428571428572</v>
      </c>
    </row>
    <row r="182" spans="1:12" x14ac:dyDescent="0.25">
      <c r="A182" s="1">
        <v>7</v>
      </c>
      <c r="B182" s="1">
        <v>25</v>
      </c>
      <c r="C182" s="1" t="s">
        <v>52</v>
      </c>
      <c r="D182" s="1" t="s">
        <v>57</v>
      </c>
      <c r="E182" s="1" t="s">
        <v>53</v>
      </c>
      <c r="F182">
        <v>18</v>
      </c>
      <c r="G182">
        <v>8</v>
      </c>
      <c r="H182" s="3">
        <f t="shared" si="1"/>
        <v>2.5446959999999998E-2</v>
      </c>
      <c r="I182" s="61">
        <f t="shared" si="6"/>
        <v>0.1696464</v>
      </c>
      <c r="J182" s="3">
        <f t="shared" ref="J182:J185" si="24">(0.0050811768+0.0000286052*(F182^2*G182))</f>
        <v>7.92258552E-2</v>
      </c>
      <c r="K182" s="61">
        <f t="shared" si="3"/>
        <v>0.528172368</v>
      </c>
      <c r="L182" s="4">
        <f t="shared" si="14"/>
        <v>2.8571428571428572</v>
      </c>
    </row>
    <row r="183" spans="1:12" x14ac:dyDescent="0.25">
      <c r="A183" s="1">
        <v>7</v>
      </c>
      <c r="B183" s="1">
        <v>26</v>
      </c>
      <c r="C183" s="1" t="s">
        <v>52</v>
      </c>
      <c r="D183" s="1" t="s">
        <v>57</v>
      </c>
      <c r="E183" s="1" t="s">
        <v>54</v>
      </c>
      <c r="F183">
        <v>20</v>
      </c>
      <c r="G183">
        <v>9</v>
      </c>
      <c r="H183" s="3">
        <f t="shared" si="1"/>
        <v>3.1416000000000006E-2</v>
      </c>
      <c r="I183" s="61">
        <f t="shared" si="6"/>
        <v>0.20944000000000004</v>
      </c>
      <c r="J183" s="3">
        <f t="shared" si="24"/>
        <v>0.1080598968</v>
      </c>
      <c r="K183" s="61">
        <f t="shared" si="3"/>
        <v>0.72039931200000007</v>
      </c>
      <c r="L183" s="4">
        <f t="shared" si="14"/>
        <v>2.8571428571428572</v>
      </c>
    </row>
    <row r="184" spans="1:12" x14ac:dyDescent="0.25">
      <c r="A184" s="1">
        <v>7</v>
      </c>
      <c r="B184" s="1">
        <v>27</v>
      </c>
      <c r="C184" s="1" t="s">
        <v>52</v>
      </c>
      <c r="D184" s="1" t="s">
        <v>57</v>
      </c>
      <c r="E184" s="1" t="s">
        <v>54</v>
      </c>
      <c r="F184">
        <v>23</v>
      </c>
      <c r="G184">
        <v>10</v>
      </c>
      <c r="H184" s="3">
        <f t="shared" si="1"/>
        <v>4.154766E-2</v>
      </c>
      <c r="I184" s="61">
        <f t="shared" si="6"/>
        <v>0.27698440000000002</v>
      </c>
      <c r="J184" s="3">
        <f t="shared" si="24"/>
        <v>0.1564026848</v>
      </c>
      <c r="K184" s="61">
        <f t="shared" si="3"/>
        <v>1.0426845653333334</v>
      </c>
      <c r="L184" s="4">
        <f t="shared" si="14"/>
        <v>2.8571428571428572</v>
      </c>
    </row>
    <row r="185" spans="1:12" x14ac:dyDescent="0.25">
      <c r="A185" s="1">
        <v>7</v>
      </c>
      <c r="B185" s="1">
        <v>28</v>
      </c>
      <c r="C185" s="1" t="s">
        <v>52</v>
      </c>
      <c r="D185" s="1" t="s">
        <v>57</v>
      </c>
      <c r="E185" s="1" t="s">
        <v>53</v>
      </c>
      <c r="F185">
        <v>12</v>
      </c>
      <c r="G185">
        <v>5</v>
      </c>
      <c r="H185" s="3">
        <f t="shared" si="1"/>
        <v>1.130976E-2</v>
      </c>
      <c r="I185" s="61">
        <f t="shared" si="6"/>
        <v>7.5398400000000004E-2</v>
      </c>
      <c r="J185" s="3">
        <f t="shared" si="24"/>
        <v>2.5676920799999999E-2</v>
      </c>
      <c r="K185" s="61">
        <f t="shared" si="3"/>
        <v>0.171179472</v>
      </c>
      <c r="L185" s="4">
        <f t="shared" si="14"/>
        <v>2.8571428571428572</v>
      </c>
    </row>
    <row r="186" spans="1:12" x14ac:dyDescent="0.25">
      <c r="A186" s="1">
        <v>7</v>
      </c>
      <c r="B186" s="1">
        <v>29</v>
      </c>
      <c r="C186" s="1" t="s">
        <v>70</v>
      </c>
      <c r="D186" s="1" t="s">
        <v>63</v>
      </c>
      <c r="E186" s="1" t="s">
        <v>54</v>
      </c>
      <c r="F186">
        <v>23</v>
      </c>
      <c r="G186">
        <v>10</v>
      </c>
      <c r="H186" s="3">
        <f t="shared" si="1"/>
        <v>4.154766E-2</v>
      </c>
      <c r="I186" s="61">
        <f t="shared" si="6"/>
        <v>0.27698440000000002</v>
      </c>
      <c r="J186" s="3">
        <f t="shared" ref="J186:J189" si="25">(0.0134651922+0.0000289134*(F186^2*G186))</f>
        <v>0.16641707820000001</v>
      </c>
      <c r="K186" s="61">
        <f t="shared" si="3"/>
        <v>1.1094471880000001</v>
      </c>
      <c r="L186" s="4">
        <f t="shared" si="14"/>
        <v>2.8571428571428572</v>
      </c>
    </row>
    <row r="187" spans="1:12" x14ac:dyDescent="0.25">
      <c r="A187" s="1">
        <v>7</v>
      </c>
      <c r="B187" s="1">
        <v>30</v>
      </c>
      <c r="C187" s="1" t="s">
        <v>70</v>
      </c>
      <c r="D187" s="1" t="s">
        <v>63</v>
      </c>
      <c r="E187" s="1" t="s">
        <v>53</v>
      </c>
      <c r="F187">
        <v>17</v>
      </c>
      <c r="G187">
        <v>10</v>
      </c>
      <c r="H187" s="3">
        <f t="shared" si="1"/>
        <v>2.2698060000000003E-2</v>
      </c>
      <c r="I187" s="61">
        <f t="shared" si="6"/>
        <v>0.15132040000000002</v>
      </c>
      <c r="J187" s="3">
        <f t="shared" si="25"/>
        <v>9.7024918200000004E-2</v>
      </c>
      <c r="K187" s="61">
        <f t="shared" si="3"/>
        <v>0.6468327880000001</v>
      </c>
      <c r="L187" s="4">
        <f t="shared" si="14"/>
        <v>2.8571428571428572</v>
      </c>
    </row>
    <row r="188" spans="1:12" x14ac:dyDescent="0.25">
      <c r="A188" s="1">
        <v>7</v>
      </c>
      <c r="B188" s="1">
        <v>31</v>
      </c>
      <c r="C188" s="1" t="s">
        <v>70</v>
      </c>
      <c r="D188" s="1" t="s">
        <v>63</v>
      </c>
      <c r="E188" s="1" t="s">
        <v>53</v>
      </c>
      <c r="F188">
        <v>15</v>
      </c>
      <c r="G188">
        <v>9</v>
      </c>
      <c r="H188" s="3">
        <f t="shared" si="1"/>
        <v>1.76715E-2</v>
      </c>
      <c r="I188" s="61">
        <f t="shared" si="6"/>
        <v>0.11781</v>
      </c>
      <c r="J188" s="3">
        <f t="shared" si="25"/>
        <v>7.2014827200000006E-2</v>
      </c>
      <c r="K188" s="61">
        <f t="shared" si="3"/>
        <v>0.48009884800000008</v>
      </c>
      <c r="L188" s="4">
        <f t="shared" si="14"/>
        <v>2.8571428571428572</v>
      </c>
    </row>
    <row r="189" spans="1:12" x14ac:dyDescent="0.25">
      <c r="A189" s="1">
        <v>7</v>
      </c>
      <c r="B189" s="1">
        <v>32</v>
      </c>
      <c r="C189" s="1" t="s">
        <v>70</v>
      </c>
      <c r="D189" s="1" t="s">
        <v>63</v>
      </c>
      <c r="E189" s="1" t="s">
        <v>53</v>
      </c>
      <c r="F189">
        <v>16</v>
      </c>
      <c r="G189">
        <v>7</v>
      </c>
      <c r="H189" s="3">
        <f t="shared" si="1"/>
        <v>2.0106240000000001E-2</v>
      </c>
      <c r="I189" s="61">
        <f t="shared" si="6"/>
        <v>0.13404160000000001</v>
      </c>
      <c r="J189" s="3">
        <f t="shared" si="25"/>
        <v>6.5278005E-2</v>
      </c>
      <c r="K189" s="61">
        <f t="shared" si="3"/>
        <v>0.43518670000000004</v>
      </c>
      <c r="L189" s="4">
        <f t="shared" si="14"/>
        <v>2.8571428571428572</v>
      </c>
    </row>
    <row r="190" spans="1:12" x14ac:dyDescent="0.25">
      <c r="A190" s="1">
        <v>7</v>
      </c>
      <c r="B190" s="1">
        <v>33</v>
      </c>
      <c r="C190" s="1" t="s">
        <v>56</v>
      </c>
      <c r="D190" s="1" t="s">
        <v>59</v>
      </c>
      <c r="E190" s="1" t="s">
        <v>53</v>
      </c>
      <c r="F190">
        <v>18</v>
      </c>
      <c r="G190">
        <v>8</v>
      </c>
      <c r="H190" s="3">
        <f t="shared" si="1"/>
        <v>2.5446959999999998E-2</v>
      </c>
      <c r="I190" s="61">
        <f t="shared" si="6"/>
        <v>0.1696464</v>
      </c>
      <c r="J190" s="3">
        <f t="shared" ref="J190:J192" si="26">(0.108337266+0.000046499*(F190^2*G190))</f>
        <v>0.22886267400000002</v>
      </c>
      <c r="K190" s="61">
        <f t="shared" si="3"/>
        <v>1.5257511600000002</v>
      </c>
      <c r="L190" s="4">
        <f t="shared" si="14"/>
        <v>2.8571428571428572</v>
      </c>
    </row>
    <row r="191" spans="1:12" x14ac:dyDescent="0.25">
      <c r="A191" s="1">
        <v>7</v>
      </c>
      <c r="B191" s="1">
        <v>34</v>
      </c>
      <c r="C191" s="1" t="s">
        <v>56</v>
      </c>
      <c r="D191" s="1" t="s">
        <v>59</v>
      </c>
      <c r="E191" s="1" t="s">
        <v>53</v>
      </c>
      <c r="F191">
        <v>14</v>
      </c>
      <c r="G191">
        <v>6</v>
      </c>
      <c r="H191" s="3">
        <f t="shared" si="1"/>
        <v>1.5393840000000002E-2</v>
      </c>
      <c r="I191" s="61">
        <f t="shared" si="6"/>
        <v>0.10262560000000003</v>
      </c>
      <c r="J191" s="3">
        <f t="shared" si="26"/>
        <v>0.16302009000000001</v>
      </c>
      <c r="K191" s="61">
        <f t="shared" si="3"/>
        <v>1.0868006000000001</v>
      </c>
      <c r="L191" s="4">
        <f t="shared" si="14"/>
        <v>2.8571428571428572</v>
      </c>
    </row>
    <row r="192" spans="1:12" x14ac:dyDescent="0.25">
      <c r="A192" s="1">
        <v>7</v>
      </c>
      <c r="B192" s="1">
        <v>35</v>
      </c>
      <c r="C192" s="1" t="s">
        <v>56</v>
      </c>
      <c r="D192" s="1" t="s">
        <v>59</v>
      </c>
      <c r="E192" s="1" t="s">
        <v>53</v>
      </c>
      <c r="F192">
        <v>13</v>
      </c>
      <c r="G192">
        <v>5</v>
      </c>
      <c r="H192" s="3">
        <f t="shared" si="1"/>
        <v>1.3273260000000002E-2</v>
      </c>
      <c r="I192" s="61">
        <f t="shared" si="6"/>
        <v>8.8488400000000023E-2</v>
      </c>
      <c r="J192" s="3">
        <f t="shared" si="26"/>
        <v>0.147628921</v>
      </c>
      <c r="K192" s="61">
        <f t="shared" si="3"/>
        <v>0.98419280666666664</v>
      </c>
      <c r="L192" s="4">
        <f t="shared" ref="L192:L194" si="27">1*1/0.35</f>
        <v>2.8571428571428572</v>
      </c>
    </row>
    <row r="193" spans="1:12" x14ac:dyDescent="0.25">
      <c r="A193" s="1">
        <v>7</v>
      </c>
      <c r="B193" s="1">
        <v>36</v>
      </c>
      <c r="C193" s="1" t="s">
        <v>52</v>
      </c>
      <c r="D193" s="1" t="s">
        <v>57</v>
      </c>
      <c r="E193" s="1" t="s">
        <v>54</v>
      </c>
      <c r="F193">
        <v>22</v>
      </c>
      <c r="G193">
        <v>10</v>
      </c>
      <c r="H193" s="3">
        <f t="shared" si="1"/>
        <v>3.8013359999999996E-2</v>
      </c>
      <c r="I193" s="61">
        <f t="shared" si="6"/>
        <v>0.25342239999999999</v>
      </c>
      <c r="J193" s="3">
        <f t="shared" ref="J193:J194" si="28">(0.0050811768+0.0000286052*(F193^2*G193))</f>
        <v>0.14353034479999999</v>
      </c>
      <c r="K193" s="61">
        <f t="shared" si="3"/>
        <v>0.95686896533333332</v>
      </c>
      <c r="L193" s="4">
        <f t="shared" si="27"/>
        <v>2.8571428571428572</v>
      </c>
    </row>
    <row r="194" spans="1:12" x14ac:dyDescent="0.25">
      <c r="A194" s="1">
        <v>7</v>
      </c>
      <c r="B194" s="1">
        <v>37</v>
      </c>
      <c r="C194" s="1" t="s">
        <v>52</v>
      </c>
      <c r="D194" s="1" t="s">
        <v>57</v>
      </c>
      <c r="E194" s="1" t="s">
        <v>53</v>
      </c>
      <c r="F194">
        <v>19</v>
      </c>
      <c r="G194">
        <v>10</v>
      </c>
      <c r="H194" s="3">
        <f t="shared" si="1"/>
        <v>2.835294E-2</v>
      </c>
      <c r="I194" s="61">
        <f t="shared" si="6"/>
        <v>0.18901960000000001</v>
      </c>
      <c r="J194" s="3">
        <f t="shared" si="28"/>
        <v>0.10834594879999999</v>
      </c>
      <c r="K194" s="61">
        <f t="shared" si="3"/>
        <v>0.72230632533333328</v>
      </c>
      <c r="L194" s="4">
        <f t="shared" si="27"/>
        <v>2.8571428571428572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A17" workbookViewId="0">
      <selection activeCell="A4" sqref="A4"/>
    </sheetView>
  </sheetViews>
  <sheetFormatPr baseColWidth="10" defaultColWidth="11.42578125" defaultRowHeight="15" x14ac:dyDescent="0.25"/>
  <cols>
    <col min="1" max="1" width="30.28515625" customWidth="1"/>
    <col min="2" max="2" width="19" customWidth="1"/>
    <col min="3" max="3" width="21.5703125" customWidth="1"/>
    <col min="4" max="4" width="14.85546875" customWidth="1"/>
    <col min="5" max="5" width="19" customWidth="1"/>
    <col min="7" max="7" width="14" customWidth="1"/>
  </cols>
  <sheetData>
    <row r="3" spans="1:11" x14ac:dyDescent="0.25">
      <c r="A3" s="5" t="s">
        <v>12</v>
      </c>
      <c r="B3" t="s">
        <v>14</v>
      </c>
    </row>
    <row r="4" spans="1:11" x14ac:dyDescent="0.25">
      <c r="A4" s="6" t="s">
        <v>57</v>
      </c>
      <c r="B4" s="8">
        <v>18</v>
      </c>
    </row>
    <row r="5" spans="1:11" x14ac:dyDescent="0.25">
      <c r="A5" s="7" t="s">
        <v>52</v>
      </c>
      <c r="B5" s="8">
        <v>18</v>
      </c>
    </row>
    <row r="6" spans="1:11" x14ac:dyDescent="0.25">
      <c r="A6" s="6" t="s">
        <v>58</v>
      </c>
      <c r="B6" s="8">
        <v>93</v>
      </c>
    </row>
    <row r="7" spans="1:11" x14ac:dyDescent="0.25">
      <c r="A7" s="7" t="s">
        <v>55</v>
      </c>
      <c r="B7" s="8">
        <v>93</v>
      </c>
    </row>
    <row r="8" spans="1:11" x14ac:dyDescent="0.25">
      <c r="A8" s="6" t="s">
        <v>59</v>
      </c>
      <c r="B8" s="8">
        <v>15</v>
      </c>
    </row>
    <row r="9" spans="1:11" x14ac:dyDescent="0.25">
      <c r="A9" s="7" t="s">
        <v>56</v>
      </c>
      <c r="B9" s="8">
        <v>15</v>
      </c>
    </row>
    <row r="10" spans="1:11" x14ac:dyDescent="0.25">
      <c r="A10" s="6" t="s">
        <v>61</v>
      </c>
      <c r="B10" s="8">
        <v>4</v>
      </c>
      <c r="K10">
        <f>0.15*100/1.34</f>
        <v>11.194029850746269</v>
      </c>
    </row>
    <row r="11" spans="1:11" x14ac:dyDescent="0.25">
      <c r="A11" s="7" t="s">
        <v>60</v>
      </c>
      <c r="B11" s="8">
        <v>4</v>
      </c>
    </row>
    <row r="12" spans="1:11" x14ac:dyDescent="0.25">
      <c r="A12" s="6" t="s">
        <v>63</v>
      </c>
      <c r="B12" s="8">
        <v>57</v>
      </c>
    </row>
    <row r="13" spans="1:11" ht="30" customHeight="1" x14ac:dyDescent="0.25">
      <c r="A13" s="7" t="s">
        <v>62</v>
      </c>
      <c r="B13" s="8">
        <v>57</v>
      </c>
    </row>
    <row r="14" spans="1:11" x14ac:dyDescent="0.25">
      <c r="A14" s="6" t="s">
        <v>65</v>
      </c>
      <c r="B14" s="8">
        <v>6</v>
      </c>
    </row>
    <row r="15" spans="1:11" x14ac:dyDescent="0.25">
      <c r="A15" s="7" t="s">
        <v>64</v>
      </c>
      <c r="B15" s="8">
        <v>6</v>
      </c>
    </row>
    <row r="16" spans="1:11" x14ac:dyDescent="0.25">
      <c r="A16" s="6" t="s">
        <v>13</v>
      </c>
      <c r="B16" s="8">
        <v>193</v>
      </c>
    </row>
    <row r="21" spans="1:5" x14ac:dyDescent="0.25">
      <c r="A21" s="23" t="s">
        <v>21</v>
      </c>
      <c r="B21" s="24" t="s">
        <v>22</v>
      </c>
      <c r="C21" s="24" t="s">
        <v>23</v>
      </c>
      <c r="D21" s="24" t="s">
        <v>24</v>
      </c>
      <c r="E21" s="25" t="s">
        <v>25</v>
      </c>
    </row>
    <row r="22" spans="1:5" x14ac:dyDescent="0.25">
      <c r="A22" s="10">
        <v>1</v>
      </c>
      <c r="B22" s="10" t="str">
        <f>A5</f>
        <v>Pino</v>
      </c>
      <c r="C22" s="11" t="str">
        <f>A4</f>
        <v>Pinus sp.</v>
      </c>
      <c r="D22" s="12">
        <f>GETPIVOTDATA("No. Arbol",$A$3,"Especie","Pinus sp.")</f>
        <v>18</v>
      </c>
      <c r="E22" s="13">
        <f>D22/D28*100</f>
        <v>9.3264248704663206</v>
      </c>
    </row>
    <row r="23" spans="1:5" s="1" customFormat="1" x14ac:dyDescent="0.25">
      <c r="A23" s="10">
        <v>2</v>
      </c>
      <c r="B23" s="10" t="str">
        <f>A7</f>
        <v>Aliso</v>
      </c>
      <c r="C23" s="11" t="str">
        <f>A6</f>
        <v>Alnus sp.</v>
      </c>
      <c r="D23" s="12">
        <f>GETPIVOTDATA("No. Arbol",$A$3,"Especie","Alnus sp.")</f>
        <v>93</v>
      </c>
      <c r="E23" s="13">
        <f>D23/D28*100</f>
        <v>48.186528497409327</v>
      </c>
    </row>
    <row r="24" spans="1:5" s="1" customFormat="1" x14ac:dyDescent="0.25">
      <c r="A24" s="10">
        <v>3</v>
      </c>
      <c r="B24" s="10" t="str">
        <f>A9</f>
        <v>Roble</v>
      </c>
      <c r="C24" s="11" t="str">
        <f>A8</f>
        <v>Quercus sp.</v>
      </c>
      <c r="D24" s="12">
        <f>GETPIVOTDATA("No. Arbol",$A$3,"Especie","Quercus sp.")</f>
        <v>15</v>
      </c>
      <c r="E24" s="13">
        <f>D24/D28*100</f>
        <v>7.7720207253886011</v>
      </c>
    </row>
    <row r="25" spans="1:5" s="1" customFormat="1" x14ac:dyDescent="0.25">
      <c r="A25" s="10">
        <v>4</v>
      </c>
      <c r="B25" s="10" t="str">
        <f>A11</f>
        <v>Canac</v>
      </c>
      <c r="C25" s="11" t="str">
        <f>A10</f>
        <v>Quiratodendron pentadactilon</v>
      </c>
      <c r="D25" s="12">
        <f>GETPIVOTDATA("No. Arbol",$A$3,"Especie","Quiratodendron pentadactilon")</f>
        <v>4</v>
      </c>
      <c r="E25" s="13">
        <f>D25/D28*100</f>
        <v>2.0725388601036272</v>
      </c>
    </row>
    <row r="26" spans="1:5" x14ac:dyDescent="0.25">
      <c r="A26" s="10">
        <v>5</v>
      </c>
      <c r="B26" s="10" t="str">
        <f>A13</f>
        <v>Cipres</v>
      </c>
      <c r="C26" s="11" t="str">
        <f>A12</f>
        <v>Cupressus lusitanica</v>
      </c>
      <c r="D26" s="12">
        <f>GETPIVOTDATA("No. Arbol",$A$3,"Especie","Cupressus lusitanica")</f>
        <v>57</v>
      </c>
      <c r="E26" s="13">
        <f>D26/D28*100</f>
        <v>29.533678756476682</v>
      </c>
    </row>
    <row r="27" spans="1:5" x14ac:dyDescent="0.25">
      <c r="A27" s="10">
        <v>6</v>
      </c>
      <c r="B27" s="10" t="str">
        <f>A15</f>
        <v xml:space="preserve">Chilube </v>
      </c>
      <c r="C27" s="11" t="str">
        <f>A14</f>
        <v>NI</v>
      </c>
      <c r="D27" s="12">
        <f>GETPIVOTDATA("No. Arbol",$A$3,"Especie","NI")</f>
        <v>6</v>
      </c>
      <c r="E27" s="13">
        <f>D27/D28*100</f>
        <v>3.1088082901554404</v>
      </c>
    </row>
    <row r="28" spans="1:5" x14ac:dyDescent="0.25">
      <c r="A28" s="69" t="s">
        <v>26</v>
      </c>
      <c r="B28" s="69"/>
      <c r="C28" s="69"/>
      <c r="D28" s="26">
        <f>SUM(D22:D27)</f>
        <v>193</v>
      </c>
      <c r="E28" s="27">
        <f>D28/D28*100</f>
        <v>100</v>
      </c>
    </row>
  </sheetData>
  <mergeCells count="1">
    <mergeCell ref="A28:C28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topLeftCell="C4" workbookViewId="0">
      <selection activeCell="E19" sqref="E19"/>
    </sheetView>
  </sheetViews>
  <sheetFormatPr baseColWidth="10" defaultColWidth="11.42578125" defaultRowHeight="15" x14ac:dyDescent="0.25"/>
  <cols>
    <col min="1" max="1" width="28.42578125" bestFit="1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5" t="s">
        <v>16</v>
      </c>
    </row>
    <row r="4" spans="1:12" x14ac:dyDescent="0.25">
      <c r="A4" s="5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6" t="s">
        <v>57</v>
      </c>
      <c r="B5" s="9">
        <v>51.428571428571409</v>
      </c>
      <c r="C5" s="3">
        <v>18.611111111111111</v>
      </c>
      <c r="D5" s="3">
        <v>8.2777777777777786</v>
      </c>
      <c r="E5" s="3">
        <v>3.269882</v>
      </c>
      <c r="F5" s="3">
        <v>11.021461911999999</v>
      </c>
    </row>
    <row r="6" spans="1:12" x14ac:dyDescent="0.25">
      <c r="A6" s="6" t="s">
        <v>58</v>
      </c>
      <c r="B6" s="9">
        <v>265.71428571428584</v>
      </c>
      <c r="C6" s="3">
        <v>15.774193548387096</v>
      </c>
      <c r="D6" s="3">
        <v>7.4516129032258061</v>
      </c>
      <c r="E6" s="3">
        <v>11.745264299999992</v>
      </c>
      <c r="F6" s="3">
        <v>125.21287663999998</v>
      </c>
    </row>
    <row r="7" spans="1:12" x14ac:dyDescent="0.25">
      <c r="A7" s="6" t="s">
        <v>59</v>
      </c>
      <c r="B7" s="9">
        <v>42.857142857142847</v>
      </c>
      <c r="C7" s="3">
        <v>13.066666666666666</v>
      </c>
      <c r="D7" s="3">
        <v>6</v>
      </c>
      <c r="E7" s="3">
        <v>1.3686904000000002</v>
      </c>
      <c r="F7" s="3">
        <v>15.925367100000001</v>
      </c>
      <c r="L7">
        <f>2013-1977</f>
        <v>36</v>
      </c>
    </row>
    <row r="8" spans="1:12" x14ac:dyDescent="0.25">
      <c r="A8" s="6" t="s">
        <v>61</v>
      </c>
      <c r="B8" s="9">
        <v>11.428571428571429</v>
      </c>
      <c r="C8" s="3">
        <v>36.75</v>
      </c>
      <c r="D8" s="3">
        <v>10.25</v>
      </c>
      <c r="E8" s="3">
        <v>3.9610340000000006</v>
      </c>
      <c r="F8" s="3">
        <v>36.72600606666667</v>
      </c>
    </row>
    <row r="9" spans="1:12" x14ac:dyDescent="0.25">
      <c r="A9" s="6" t="s">
        <v>63</v>
      </c>
      <c r="B9" s="9">
        <v>162.85714285714295</v>
      </c>
      <c r="C9" s="3">
        <v>15.385964912280702</v>
      </c>
      <c r="D9" s="3">
        <v>6.9649122807017543</v>
      </c>
      <c r="E9" s="3">
        <v>7.3267348000000032</v>
      </c>
      <c r="F9" s="3">
        <v>25.025190984000002</v>
      </c>
    </row>
    <row r="10" spans="1:12" x14ac:dyDescent="0.25">
      <c r="A10" s="6" t="s">
        <v>65</v>
      </c>
      <c r="B10" s="9">
        <v>17.142857142857142</v>
      </c>
      <c r="C10" s="3">
        <v>15</v>
      </c>
      <c r="D10" s="3">
        <v>5.166666666666667</v>
      </c>
      <c r="E10" s="3">
        <v>0.7131432000000002</v>
      </c>
      <c r="F10" s="3">
        <v>6.5239035333333355</v>
      </c>
    </row>
    <row r="11" spans="1:12" x14ac:dyDescent="0.25">
      <c r="A11" s="6" t="s">
        <v>13</v>
      </c>
      <c r="B11" s="9">
        <v>551.42857142856985</v>
      </c>
      <c r="C11" s="3">
        <v>16.124352331606218</v>
      </c>
      <c r="D11" s="3">
        <v>7.2590673575129534</v>
      </c>
      <c r="E11" s="3">
        <v>28.384748699999989</v>
      </c>
      <c r="F11" s="3">
        <v>220.43480623600013</v>
      </c>
    </row>
    <row r="12" spans="1:12" x14ac:dyDescent="0.25">
      <c r="B12" s="74" t="s">
        <v>27</v>
      </c>
      <c r="C12" s="74" t="s">
        <v>28</v>
      </c>
      <c r="D12" s="71" t="s">
        <v>3</v>
      </c>
      <c r="E12" s="70" t="s">
        <v>15</v>
      </c>
      <c r="F12" s="70" t="s">
        <v>17</v>
      </c>
      <c r="G12" s="70" t="s">
        <v>18</v>
      </c>
      <c r="H12" s="70" t="s">
        <v>19</v>
      </c>
      <c r="I12" s="71" t="s">
        <v>29</v>
      </c>
      <c r="J12" s="71"/>
    </row>
    <row r="13" spans="1:12" x14ac:dyDescent="0.25">
      <c r="B13" s="74"/>
      <c r="C13" s="74"/>
      <c r="D13" s="71"/>
      <c r="E13" s="70"/>
      <c r="F13" s="70"/>
      <c r="G13" s="70"/>
      <c r="H13" s="70"/>
      <c r="I13" s="22" t="s">
        <v>30</v>
      </c>
      <c r="J13" s="22" t="s">
        <v>27</v>
      </c>
    </row>
    <row r="14" spans="1:12" x14ac:dyDescent="0.25">
      <c r="B14" s="72">
        <v>1</v>
      </c>
      <c r="C14" s="73">
        <v>5.37</v>
      </c>
      <c r="D14" s="14" t="str">
        <f t="shared" ref="D14:D19" si="0">A5</f>
        <v>Pinus sp.</v>
      </c>
      <c r="E14" s="18">
        <f>GETPIVOTDATA("Suma de Densidad/Ha.",$A$3,"Especie","Pinus sp.")</f>
        <v>51.428571428571409</v>
      </c>
      <c r="F14" s="15">
        <f>GETPIVOTDATA("Promedio de DAP (cm)",$A$3,"Especie","Pinus sp.")</f>
        <v>18.611111111111111</v>
      </c>
      <c r="G14" s="15">
        <f>GETPIVOTDATA("Promedio de Altura (m)",$A$3,"Especie","Pinus sp.")</f>
        <v>8.2777777777777786</v>
      </c>
      <c r="H14" s="15">
        <f>GETPIVOTDATA("Suma de AB/Ha.",$A$3,"Especie","Pinus sp.")</f>
        <v>3.269882</v>
      </c>
      <c r="I14" s="15">
        <f>GETPIVOTDATA("Suma de Volumen/Ha.",$A$3,"Especie","Pinus sp.")</f>
        <v>11.021461911999999</v>
      </c>
      <c r="J14" s="16">
        <f t="shared" ref="J14:J20" si="1">I14*5.37</f>
        <v>59.18525046744</v>
      </c>
    </row>
    <row r="15" spans="1:12" s="1" customFormat="1" x14ac:dyDescent="0.25">
      <c r="B15" s="72"/>
      <c r="C15" s="73"/>
      <c r="D15" s="14" t="str">
        <f t="shared" si="0"/>
        <v>Alnus sp.</v>
      </c>
      <c r="E15" s="18">
        <f>GETPIVOTDATA("Suma de Densidad/Ha.",$A$3,"Especie","Alnus sp.")</f>
        <v>265.71428571428584</v>
      </c>
      <c r="F15" s="15">
        <f>GETPIVOTDATA("Promedio de DAP (cm)",$A$3,"Especie","Alnus sp.")</f>
        <v>15.774193548387096</v>
      </c>
      <c r="G15" s="15">
        <f>GETPIVOTDATA("Promedio de Altura (m)",$A$3,"Especie","Alnus sp.")</f>
        <v>7.4516129032258061</v>
      </c>
      <c r="H15" s="15">
        <f>GETPIVOTDATA("Suma de AB/Ha.",$A$3,"Especie","Alnus sp.")</f>
        <v>11.745264299999992</v>
      </c>
      <c r="I15" s="15">
        <f>GETPIVOTDATA("Suma de Volumen/Ha.",$A$3,"Especie","Alnus sp.")</f>
        <v>125.21287663999998</v>
      </c>
      <c r="J15" s="59">
        <f t="shared" si="1"/>
        <v>672.39314755679993</v>
      </c>
    </row>
    <row r="16" spans="1:12" s="1" customFormat="1" x14ac:dyDescent="0.25">
      <c r="B16" s="72"/>
      <c r="C16" s="73"/>
      <c r="D16" s="14" t="str">
        <f t="shared" si="0"/>
        <v>Quercus sp.</v>
      </c>
      <c r="E16" s="18">
        <f>GETPIVOTDATA("Suma de Densidad/Ha.",$A$3,"Especie","Quercus sp.")</f>
        <v>42.857142857142847</v>
      </c>
      <c r="F16" s="15">
        <f>GETPIVOTDATA("Promedio de DAP (cm)",$A$3,"Especie","Quercus sp.")</f>
        <v>13.066666666666666</v>
      </c>
      <c r="G16" s="15">
        <f>GETPIVOTDATA("Promedio de Altura (m)",$A$3,"Especie","Quercus sp.")</f>
        <v>6</v>
      </c>
      <c r="H16" s="15">
        <f>GETPIVOTDATA("Suma de AB/Ha.",$A$3,"Especie","Quercus sp.")</f>
        <v>1.3686904000000002</v>
      </c>
      <c r="I16" s="15">
        <f>GETPIVOTDATA("Suma de Volumen/Ha.",$A$3,"Especie","Quercus sp.")</f>
        <v>15.925367100000001</v>
      </c>
      <c r="J16" s="59">
        <f t="shared" si="1"/>
        <v>85.519221327000011</v>
      </c>
    </row>
    <row r="17" spans="2:10" s="1" customFormat="1" x14ac:dyDescent="0.25">
      <c r="B17" s="72"/>
      <c r="C17" s="73"/>
      <c r="D17" s="14" t="str">
        <f t="shared" si="0"/>
        <v>Quiratodendron pentadactilon</v>
      </c>
      <c r="E17" s="18">
        <f>GETPIVOTDATA("Suma de Densidad/Ha.",$A$3,"Especie","Quiratodendron pentadactilon")</f>
        <v>11.428571428571429</v>
      </c>
      <c r="F17" s="15">
        <f>GETPIVOTDATA("Promedio de DAP (cm)",$A$3,"Especie","Quiratodendron pentadactilon")</f>
        <v>36.75</v>
      </c>
      <c r="G17" s="15">
        <f>GETPIVOTDATA("Promedio de Altura (m)",$A$3,"Especie","Quiratodendron pentadactilon")</f>
        <v>10.25</v>
      </c>
      <c r="H17" s="15">
        <f>GETPIVOTDATA("Suma de AB/Ha.",$A$3,"Especie","Quiratodendron pentadactilon")</f>
        <v>3.9610340000000006</v>
      </c>
      <c r="I17" s="15">
        <f>GETPIVOTDATA("Suma de Volumen/Ha.",$A$3,"Especie","Quiratodendron pentadactilon")</f>
        <v>36.72600606666667</v>
      </c>
      <c r="J17" s="59">
        <f t="shared" si="1"/>
        <v>197.21865257800002</v>
      </c>
    </row>
    <row r="18" spans="2:10" x14ac:dyDescent="0.25">
      <c r="B18" s="72"/>
      <c r="C18" s="73"/>
      <c r="D18" s="14" t="str">
        <f t="shared" si="0"/>
        <v>Cupressus lusitanica</v>
      </c>
      <c r="E18" s="18">
        <f>GETPIVOTDATA("Suma de Densidad/Ha.",$A$3,"Especie","Cupressus lusitanica")</f>
        <v>162.85714285714295</v>
      </c>
      <c r="F18" s="15">
        <f>GETPIVOTDATA("Promedio de DAP (cm)",$A$3,"Especie","Cupressus lusitanica")</f>
        <v>15.385964912280702</v>
      </c>
      <c r="G18" s="15">
        <f>GETPIVOTDATA("Promedio de Altura (m)",$A$3,"Especie","Cupressus lusitanica")</f>
        <v>6.9649122807017543</v>
      </c>
      <c r="H18" s="15">
        <f>GETPIVOTDATA("Suma de AB/Ha.",$A$3,"Especie","Cupressus lusitanica")</f>
        <v>7.3267348000000032</v>
      </c>
      <c r="I18" s="15">
        <f>GETPIVOTDATA("Suma de Volumen/Ha.",$A$3,"Especie","Cupressus lusitanica")</f>
        <v>25.025190984000002</v>
      </c>
      <c r="J18" s="16">
        <f t="shared" si="1"/>
        <v>134.38527558408001</v>
      </c>
    </row>
    <row r="19" spans="2:10" x14ac:dyDescent="0.25">
      <c r="B19" s="72"/>
      <c r="C19" s="73"/>
      <c r="D19" s="14" t="str">
        <f t="shared" si="0"/>
        <v>NI</v>
      </c>
      <c r="E19" s="18">
        <f>GETPIVOTDATA("Suma de Densidad/Ha.",$A$3,"Especie","NI")</f>
        <v>17.142857142857142</v>
      </c>
      <c r="F19" s="15">
        <f>GETPIVOTDATA("Promedio de DAP (cm)",$A$3,"Especie","NI")</f>
        <v>15</v>
      </c>
      <c r="G19" s="15">
        <f>GETPIVOTDATA("Promedio de Altura (m)",$A$3,"Especie","NI")</f>
        <v>5.166666666666667</v>
      </c>
      <c r="H19" s="15">
        <f>GETPIVOTDATA("Suma de AB/Ha.",$A$3,"Especie","NI")</f>
        <v>0.7131432000000002</v>
      </c>
      <c r="I19" s="15">
        <f>GETPIVOTDATA("Suma de Volumen/Ha.",$A$3,"Especie","NI")</f>
        <v>6.5239035333333355</v>
      </c>
      <c r="J19" s="16">
        <f t="shared" si="1"/>
        <v>35.033361974000009</v>
      </c>
    </row>
    <row r="20" spans="2:10" x14ac:dyDescent="0.25">
      <c r="B20" s="72"/>
      <c r="C20" s="73"/>
      <c r="D20" s="19" t="s">
        <v>13</v>
      </c>
      <c r="E20" s="20">
        <f>SUM(E14:E19)</f>
        <v>551.42857142857156</v>
      </c>
      <c r="F20" s="21">
        <f>GETPIVOTDATA("Promedio de DAP (cm)",$A$3)</f>
        <v>16.124352331606218</v>
      </c>
      <c r="G20" s="21">
        <f>GETPIVOTDATA("Promedio de Altura (m)",$A$3)</f>
        <v>7.2590673575129534</v>
      </c>
      <c r="H20" s="21">
        <f>GETPIVOTDATA("Suma de AB/Ha.",$A$3)</f>
        <v>28.384748699999989</v>
      </c>
      <c r="I20" s="21">
        <f>GETPIVOTDATA("Suma de Volumen/Ha.",$A$3)</f>
        <v>220.43480623600013</v>
      </c>
      <c r="J20" s="36">
        <f t="shared" si="1"/>
        <v>1183.7349094873207</v>
      </c>
    </row>
  </sheetData>
  <mergeCells count="10">
    <mergeCell ref="H12:H13"/>
    <mergeCell ref="I12:J12"/>
    <mergeCell ref="B14:B20"/>
    <mergeCell ref="C14:C20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18.1406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30" x14ac:dyDescent="0.25">
      <c r="A4" s="54" t="s">
        <v>32</v>
      </c>
      <c r="B4" s="33" t="s">
        <v>15</v>
      </c>
      <c r="C4" s="33" t="s">
        <v>17</v>
      </c>
      <c r="D4" s="33" t="s">
        <v>18</v>
      </c>
      <c r="E4" s="33" t="s">
        <v>19</v>
      </c>
      <c r="F4" s="54" t="s">
        <v>20</v>
      </c>
      <c r="G4" s="25" t="s">
        <v>31</v>
      </c>
    </row>
    <row r="5" spans="1:7" x14ac:dyDescent="0.25">
      <c r="A5" s="53">
        <v>1</v>
      </c>
      <c r="B5" s="30">
        <v>65.71428571428568</v>
      </c>
      <c r="C5" s="31">
        <v>15.956521739130435</v>
      </c>
      <c r="D5" s="31">
        <v>8.1304347826086953</v>
      </c>
      <c r="E5" s="31">
        <v>2.3487387000000002</v>
      </c>
      <c r="F5" s="52">
        <v>31.109249692000002</v>
      </c>
      <c r="G5" s="32">
        <f>F5*5.37</f>
        <v>167.05667084604002</v>
      </c>
    </row>
    <row r="6" spans="1:7" x14ac:dyDescent="0.25">
      <c r="A6" s="53">
        <v>2</v>
      </c>
      <c r="B6" s="30">
        <v>68.571428571428541</v>
      </c>
      <c r="C6" s="31">
        <v>15.291666666666666</v>
      </c>
      <c r="D6" s="31">
        <v>7.875</v>
      </c>
      <c r="E6" s="31">
        <v>3.0719611999999996</v>
      </c>
      <c r="F6" s="52">
        <v>32.628413640000005</v>
      </c>
      <c r="G6" s="32">
        <f>F6*5.37</f>
        <v>175.21458124680004</v>
      </c>
    </row>
    <row r="7" spans="1:7" x14ac:dyDescent="0.25">
      <c r="A7" s="53">
        <v>3</v>
      </c>
      <c r="B7" s="30">
        <v>62.857142857142826</v>
      </c>
      <c r="C7" s="31">
        <v>18.636363636363637</v>
      </c>
      <c r="D7" s="31">
        <v>6.9090909090909092</v>
      </c>
      <c r="E7" s="31">
        <v>4.6977392000000009</v>
      </c>
      <c r="F7" s="52">
        <v>33.338826202666667</v>
      </c>
      <c r="G7" s="32">
        <f>F7*5.37</f>
        <v>179.02949670832001</v>
      </c>
    </row>
    <row r="8" spans="1:7" x14ac:dyDescent="0.25">
      <c r="A8" s="53">
        <v>4</v>
      </c>
      <c r="B8" s="30">
        <v>68.571428571428541</v>
      </c>
      <c r="C8" s="31">
        <v>16.708333333333332</v>
      </c>
      <c r="D8" s="31">
        <v>7.041666666666667</v>
      </c>
      <c r="E8" s="31">
        <v>4.9569212000000009</v>
      </c>
      <c r="F8" s="52">
        <v>36.803085914666667</v>
      </c>
      <c r="G8" s="32">
        <f>F8*5.37</f>
        <v>197.63257136176</v>
      </c>
    </row>
    <row r="9" spans="1:7" x14ac:dyDescent="0.25">
      <c r="A9" s="53">
        <v>5</v>
      </c>
      <c r="B9" s="30">
        <v>74.285714285714263</v>
      </c>
      <c r="C9" s="31">
        <v>15.192307692307692</v>
      </c>
      <c r="D9" s="31">
        <v>7.384615384615385</v>
      </c>
      <c r="E9" s="31">
        <v>3.2405604000000006</v>
      </c>
      <c r="F9" s="52">
        <v>34.062990733333336</v>
      </c>
      <c r="G9" s="32">
        <f t="shared" ref="G9:G12" si="0">F9*5.37</f>
        <v>182.91826023800002</v>
      </c>
    </row>
    <row r="10" spans="1:7" x14ac:dyDescent="0.25">
      <c r="A10" s="53">
        <v>6</v>
      </c>
      <c r="B10" s="30">
        <v>105.71428571428574</v>
      </c>
      <c r="C10" s="31">
        <v>15.432432432432432</v>
      </c>
      <c r="D10" s="31">
        <v>6.8648648648648649</v>
      </c>
      <c r="E10" s="31">
        <v>4.7610948000000013</v>
      </c>
      <c r="F10" s="52">
        <v>22.454168969333335</v>
      </c>
      <c r="G10" s="32">
        <f t="shared" si="0"/>
        <v>120.57888736532001</v>
      </c>
    </row>
    <row r="11" spans="1:7" x14ac:dyDescent="0.25">
      <c r="A11" s="53">
        <v>7</v>
      </c>
      <c r="B11" s="30">
        <v>105.71428571428574</v>
      </c>
      <c r="C11" s="31">
        <v>16.243243243243242</v>
      </c>
      <c r="D11" s="31">
        <v>6.9729729729729728</v>
      </c>
      <c r="E11" s="31">
        <v>5.3077332000000013</v>
      </c>
      <c r="F11" s="52">
        <v>30.038071084000002</v>
      </c>
      <c r="G11" s="32">
        <f t="shared" si="0"/>
        <v>161.30444172108002</v>
      </c>
    </row>
    <row r="12" spans="1:7" x14ac:dyDescent="0.25">
      <c r="A12" s="56" t="s">
        <v>13</v>
      </c>
      <c r="B12" s="34">
        <v>551.42857142856985</v>
      </c>
      <c r="C12" s="35">
        <v>16.124352331606218</v>
      </c>
      <c r="D12" s="35">
        <v>7.2590673575129534</v>
      </c>
      <c r="E12" s="35">
        <v>28.384748700000003</v>
      </c>
      <c r="F12" s="55">
        <v>220.43480623600038</v>
      </c>
      <c r="G12" s="62">
        <f t="shared" si="0"/>
        <v>1183.7349094873221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opLeftCell="A6" workbookViewId="0">
      <selection activeCell="A4" sqref="A4:G22"/>
    </sheetView>
  </sheetViews>
  <sheetFormatPr baseColWidth="10" defaultColWidth="11.42578125" defaultRowHeight="15" x14ac:dyDescent="0.25"/>
  <cols>
    <col min="1" max="1" width="30.28515625" bestFit="1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45" x14ac:dyDescent="0.25">
      <c r="A4" s="54" t="s">
        <v>34</v>
      </c>
      <c r="B4" s="33" t="s">
        <v>15</v>
      </c>
      <c r="C4" s="33" t="s">
        <v>17</v>
      </c>
      <c r="D4" s="33" t="s">
        <v>18</v>
      </c>
      <c r="E4" s="33" t="s">
        <v>19</v>
      </c>
      <c r="F4" s="54" t="s">
        <v>20</v>
      </c>
      <c r="G4" s="38" t="s">
        <v>33</v>
      </c>
    </row>
    <row r="5" spans="1:7" x14ac:dyDescent="0.25">
      <c r="A5" s="50" t="s">
        <v>57</v>
      </c>
      <c r="B5" s="28">
        <v>51.428571428571409</v>
      </c>
      <c r="C5" s="29">
        <v>18.611111111111111</v>
      </c>
      <c r="D5" s="29">
        <v>8.2777777777777786</v>
      </c>
      <c r="E5" s="29">
        <v>3.2698820000000004</v>
      </c>
      <c r="F5" s="51">
        <v>11.021461911999999</v>
      </c>
      <c r="G5" s="17">
        <f>F5*5.37</f>
        <v>59.18525046744</v>
      </c>
    </row>
    <row r="6" spans="1:7" x14ac:dyDescent="0.25">
      <c r="A6" s="7" t="s">
        <v>54</v>
      </c>
      <c r="B6" s="28">
        <v>20</v>
      </c>
      <c r="C6" s="29">
        <v>20.714285714285715</v>
      </c>
      <c r="D6" s="29">
        <v>9.4285714285714288</v>
      </c>
      <c r="E6" s="29">
        <v>1.5252468000000003</v>
      </c>
      <c r="F6" s="51">
        <v>5.6778306240000003</v>
      </c>
      <c r="G6" s="37">
        <f>F6*5.37</f>
        <v>30.489950450880002</v>
      </c>
    </row>
    <row r="7" spans="1:7" x14ac:dyDescent="0.25">
      <c r="A7" s="7" t="s">
        <v>53</v>
      </c>
      <c r="B7" s="28">
        <v>31.428571428571431</v>
      </c>
      <c r="C7" s="29">
        <v>17.272727272727273</v>
      </c>
      <c r="D7" s="29">
        <v>7.5454545454545459</v>
      </c>
      <c r="E7" s="29">
        <v>1.7446352000000001</v>
      </c>
      <c r="F7" s="51">
        <v>5.3436312880000001</v>
      </c>
      <c r="G7" s="37">
        <f t="shared" ref="G7:G16" si="0">F7*5.37</f>
        <v>28.695300016560001</v>
      </c>
    </row>
    <row r="8" spans="1:7" x14ac:dyDescent="0.25">
      <c r="A8" s="50" t="s">
        <v>58</v>
      </c>
      <c r="B8" s="28">
        <v>265.71428571428584</v>
      </c>
      <c r="C8" s="29">
        <v>15.774193548387096</v>
      </c>
      <c r="D8" s="29">
        <v>7.4516129032258061</v>
      </c>
      <c r="E8" s="29">
        <v>11.745264299999992</v>
      </c>
      <c r="F8" s="51">
        <v>125.21287663999998</v>
      </c>
      <c r="G8" s="17">
        <f t="shared" si="0"/>
        <v>672.39314755679993</v>
      </c>
    </row>
    <row r="9" spans="1:7" x14ac:dyDescent="0.25">
      <c r="A9" s="7" t="s">
        <v>54</v>
      </c>
      <c r="B9" s="28">
        <v>28.571428571428573</v>
      </c>
      <c r="C9" s="29">
        <v>20</v>
      </c>
      <c r="D9" s="29">
        <v>9.8000000000000007</v>
      </c>
      <c r="E9" s="29">
        <v>1.9896800000000006</v>
      </c>
      <c r="F9" s="51">
        <v>19.374223066666666</v>
      </c>
      <c r="G9" s="37">
        <f t="shared" si="0"/>
        <v>104.03957786799999</v>
      </c>
    </row>
    <row r="10" spans="1:7" x14ac:dyDescent="0.25">
      <c r="A10" s="7" t="s">
        <v>53</v>
      </c>
      <c r="B10" s="28">
        <v>237.14285714285734</v>
      </c>
      <c r="C10" s="29">
        <v>15.265060240963855</v>
      </c>
      <c r="D10" s="29">
        <v>7.168674698795181</v>
      </c>
      <c r="E10" s="29">
        <v>9.7555842999999971</v>
      </c>
      <c r="F10" s="51">
        <v>105.8386535733333</v>
      </c>
      <c r="G10" s="37">
        <f t="shared" si="0"/>
        <v>568.35356968879989</v>
      </c>
    </row>
    <row r="11" spans="1:7" x14ac:dyDescent="0.25">
      <c r="A11" s="50" t="s">
        <v>59</v>
      </c>
      <c r="B11" s="28">
        <v>42.857142857142847</v>
      </c>
      <c r="C11" s="29">
        <v>13.066666666666666</v>
      </c>
      <c r="D11" s="29">
        <v>6</v>
      </c>
      <c r="E11" s="29">
        <v>1.3686904000000002</v>
      </c>
      <c r="F11" s="51">
        <v>15.925367100000001</v>
      </c>
      <c r="G11" s="17">
        <f t="shared" si="0"/>
        <v>85.519221327000011</v>
      </c>
    </row>
    <row r="12" spans="1:7" x14ac:dyDescent="0.25">
      <c r="A12" s="7" t="s">
        <v>53</v>
      </c>
      <c r="B12" s="28">
        <v>42.857142857142847</v>
      </c>
      <c r="C12" s="29">
        <v>13.066666666666666</v>
      </c>
      <c r="D12" s="29">
        <v>6</v>
      </c>
      <c r="E12" s="29">
        <v>1.3686904000000002</v>
      </c>
      <c r="F12" s="51">
        <v>15.925367100000001</v>
      </c>
      <c r="G12" s="37">
        <f t="shared" si="0"/>
        <v>85.519221327000011</v>
      </c>
    </row>
    <row r="13" spans="1:7" x14ac:dyDescent="0.25">
      <c r="A13" s="50" t="s">
        <v>61</v>
      </c>
      <c r="B13" s="28">
        <v>11.428571428571429</v>
      </c>
      <c r="C13" s="29">
        <v>36.75</v>
      </c>
      <c r="D13" s="29">
        <v>10.25</v>
      </c>
      <c r="E13" s="29">
        <v>3.9610340000000006</v>
      </c>
      <c r="F13" s="51">
        <v>36.72600606666667</v>
      </c>
      <c r="G13" s="17">
        <f t="shared" si="0"/>
        <v>197.21865257800002</v>
      </c>
    </row>
    <row r="14" spans="1:7" x14ac:dyDescent="0.25">
      <c r="A14" s="7" t="s">
        <v>53</v>
      </c>
      <c r="B14" s="28">
        <v>5.7142857142857144</v>
      </c>
      <c r="C14" s="29">
        <v>14</v>
      </c>
      <c r="D14" s="29">
        <v>6.5</v>
      </c>
      <c r="E14" s="29">
        <v>0.20944000000000002</v>
      </c>
      <c r="F14" s="51">
        <v>2.2678391733333334</v>
      </c>
      <c r="G14" s="37">
        <f t="shared" si="0"/>
        <v>12.178296360800001</v>
      </c>
    </row>
    <row r="15" spans="1:7" x14ac:dyDescent="0.25">
      <c r="A15" s="7" t="s">
        <v>66</v>
      </c>
      <c r="B15" s="28">
        <v>2.8571428571428572</v>
      </c>
      <c r="C15" s="29">
        <v>53</v>
      </c>
      <c r="D15" s="29">
        <v>10</v>
      </c>
      <c r="E15" s="29">
        <v>1.4707924000000003</v>
      </c>
      <c r="F15" s="51">
        <v>9.4299611733333339</v>
      </c>
      <c r="G15" s="37">
        <f t="shared" si="0"/>
        <v>50.638891500800007</v>
      </c>
    </row>
    <row r="16" spans="1:7" x14ac:dyDescent="0.25">
      <c r="A16" s="7" t="s">
        <v>67</v>
      </c>
      <c r="B16" s="28">
        <v>2.8571428571428572</v>
      </c>
      <c r="C16" s="29">
        <v>66</v>
      </c>
      <c r="D16" s="29">
        <v>18</v>
      </c>
      <c r="E16" s="29">
        <v>2.2808016000000002</v>
      </c>
      <c r="F16" s="51">
        <v>25.028205720000003</v>
      </c>
      <c r="G16" s="37">
        <f t="shared" si="0"/>
        <v>134.40146471640003</v>
      </c>
    </row>
    <row r="17" spans="1:7" x14ac:dyDescent="0.25">
      <c r="A17" s="50" t="s">
        <v>63</v>
      </c>
      <c r="B17" s="28">
        <v>162.85714285714295</v>
      </c>
      <c r="C17" s="29">
        <v>15.385964912280702</v>
      </c>
      <c r="D17" s="29">
        <v>6.9649122807017543</v>
      </c>
      <c r="E17" s="29">
        <v>7.3267348000000041</v>
      </c>
      <c r="F17" s="51">
        <v>25.025190984000002</v>
      </c>
      <c r="G17" s="17">
        <f>F17*5.37</f>
        <v>134.38527558408001</v>
      </c>
    </row>
    <row r="18" spans="1:7" x14ac:dyDescent="0.25">
      <c r="A18" s="7" t="s">
        <v>54</v>
      </c>
      <c r="B18" s="28">
        <v>5.7142857142857144</v>
      </c>
      <c r="C18" s="29">
        <v>22.5</v>
      </c>
      <c r="D18" s="29">
        <v>10</v>
      </c>
      <c r="E18" s="29">
        <v>0.53040679999999996</v>
      </c>
      <c r="F18" s="51">
        <v>2.1321541760000002</v>
      </c>
      <c r="G18" s="37">
        <f>F18*5.37</f>
        <v>11.449667925120002</v>
      </c>
    </row>
    <row r="19" spans="1:7" x14ac:dyDescent="0.25">
      <c r="A19" s="7" t="s">
        <v>53</v>
      </c>
      <c r="B19" s="28">
        <v>157.14285714285722</v>
      </c>
      <c r="C19" s="29">
        <v>15.127272727272727</v>
      </c>
      <c r="D19" s="29">
        <v>6.8545454545454545</v>
      </c>
      <c r="E19" s="29">
        <v>6.7963280000000035</v>
      </c>
      <c r="F19" s="51">
        <v>22.893036808000002</v>
      </c>
      <c r="G19" s="37">
        <f t="shared" ref="G19:G22" si="1">F19*5.37</f>
        <v>122.93560765896001</v>
      </c>
    </row>
    <row r="20" spans="1:7" x14ac:dyDescent="0.25">
      <c r="A20" s="50" t="s">
        <v>65</v>
      </c>
      <c r="B20" s="28">
        <v>17.142857142857142</v>
      </c>
      <c r="C20" s="29">
        <v>15</v>
      </c>
      <c r="D20" s="29">
        <v>5.166666666666667</v>
      </c>
      <c r="E20" s="29">
        <v>0.7131432000000002</v>
      </c>
      <c r="F20" s="51">
        <v>6.5239035333333355</v>
      </c>
      <c r="G20" s="17">
        <f t="shared" si="1"/>
        <v>35.033361974000009</v>
      </c>
    </row>
    <row r="21" spans="1:7" x14ac:dyDescent="0.25">
      <c r="A21" s="7" t="s">
        <v>53</v>
      </c>
      <c r="B21" s="28">
        <v>17.142857142857142</v>
      </c>
      <c r="C21" s="29">
        <v>15</v>
      </c>
      <c r="D21" s="29">
        <v>5.166666666666667</v>
      </c>
      <c r="E21" s="29">
        <v>0.7131432000000002</v>
      </c>
      <c r="F21" s="51">
        <v>6.5239035333333355</v>
      </c>
      <c r="G21" s="37">
        <f t="shared" si="1"/>
        <v>35.033361974000009</v>
      </c>
    </row>
    <row r="22" spans="1:7" x14ac:dyDescent="0.25">
      <c r="A22" s="57" t="s">
        <v>13</v>
      </c>
      <c r="B22" s="48">
        <v>551.42857142856985</v>
      </c>
      <c r="C22" s="49">
        <v>16.124352331606218</v>
      </c>
      <c r="D22" s="49">
        <v>7.2590673575129534</v>
      </c>
      <c r="E22" s="49">
        <v>28.384748699999985</v>
      </c>
      <c r="F22" s="58">
        <v>220.43480623600007</v>
      </c>
      <c r="G22" s="36">
        <f t="shared" si="1"/>
        <v>1183.7349094873205</v>
      </c>
    </row>
  </sheetData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6"/>
  <sheetViews>
    <sheetView workbookViewId="0">
      <selection activeCell="I6" sqref="I6:I13"/>
    </sheetView>
  </sheetViews>
  <sheetFormatPr baseColWidth="10" defaultColWidth="11.42578125" defaultRowHeight="15" x14ac:dyDescent="0.25"/>
  <cols>
    <col min="7" max="7" width="21.140625" customWidth="1"/>
    <col min="8" max="8" width="12.85546875" customWidth="1"/>
  </cols>
  <sheetData>
    <row r="3" spans="4:8" x14ac:dyDescent="0.25">
      <c r="D3" s="75" t="s">
        <v>35</v>
      </c>
      <c r="E3" s="75"/>
      <c r="F3" s="39" t="s">
        <v>36</v>
      </c>
      <c r="G3" s="39" t="s">
        <v>37</v>
      </c>
      <c r="H3" s="40" t="s">
        <v>38</v>
      </c>
    </row>
    <row r="4" spans="4:8" x14ac:dyDescent="0.25">
      <c r="D4" s="75"/>
      <c r="E4" s="75"/>
      <c r="F4" s="41">
        <v>5.37</v>
      </c>
      <c r="G4" s="41">
        <v>1.9430000000000001</v>
      </c>
      <c r="H4" s="41">
        <v>7</v>
      </c>
    </row>
    <row r="5" spans="4:8" x14ac:dyDescent="0.25">
      <c r="D5" s="39" t="s">
        <v>39</v>
      </c>
      <c r="E5" s="39" t="s">
        <v>40</v>
      </c>
      <c r="F5" s="39" t="s">
        <v>41</v>
      </c>
      <c r="G5" s="39" t="s">
        <v>42</v>
      </c>
      <c r="H5" s="39" t="s">
        <v>43</v>
      </c>
    </row>
    <row r="6" spans="4:8" x14ac:dyDescent="0.25">
      <c r="D6" s="39">
        <v>1</v>
      </c>
      <c r="E6" s="52">
        <v>31.109249692000002</v>
      </c>
      <c r="F6" s="42">
        <f>E6*E6</f>
        <v>967.78541639920229</v>
      </c>
      <c r="G6" s="39" t="s">
        <v>44</v>
      </c>
      <c r="H6" s="43">
        <f>E16/H4</f>
        <v>31.490686605142855</v>
      </c>
    </row>
    <row r="7" spans="4:8" x14ac:dyDescent="0.25">
      <c r="D7" s="39">
        <v>2</v>
      </c>
      <c r="E7" s="52">
        <v>32.628413640000005</v>
      </c>
      <c r="F7" s="42">
        <f>E7*E7</f>
        <v>1064.6133766629384</v>
      </c>
      <c r="G7" s="39" t="s">
        <v>45</v>
      </c>
      <c r="H7" s="44">
        <f>(((F16)-((E16*E16)/H4))/(H4-1))</f>
        <v>20.577102447131136</v>
      </c>
    </row>
    <row r="8" spans="4:8" x14ac:dyDescent="0.25">
      <c r="D8" s="39">
        <v>3</v>
      </c>
      <c r="E8" s="52">
        <v>33.338826202666667</v>
      </c>
      <c r="F8" s="42">
        <f>E8*E8</f>
        <v>1111.4773325716135</v>
      </c>
      <c r="G8" s="39" t="s">
        <v>46</v>
      </c>
      <c r="H8" s="44">
        <f>SQRT(H7)</f>
        <v>4.5361991189906048</v>
      </c>
    </row>
    <row r="9" spans="4:8" x14ac:dyDescent="0.25">
      <c r="D9" s="39">
        <v>4</v>
      </c>
      <c r="E9" s="52">
        <v>36.803085914666667</v>
      </c>
      <c r="F9" s="42">
        <f t="shared" ref="F9:F15" si="0">E9*E9</f>
        <v>1354.467132842336</v>
      </c>
      <c r="G9" s="39" t="s">
        <v>47</v>
      </c>
      <c r="H9" s="44">
        <f>SQRT(((H7)/H4)*(1-((H4)/(F4*10))))</f>
        <v>1.5988745412214718</v>
      </c>
    </row>
    <row r="10" spans="4:8" x14ac:dyDescent="0.25">
      <c r="D10" s="39">
        <v>5</v>
      </c>
      <c r="E10" s="52">
        <v>34.062990733333336</v>
      </c>
      <c r="F10" s="42">
        <f t="shared" si="0"/>
        <v>1160.2873376991527</v>
      </c>
      <c r="G10" s="39" t="s">
        <v>48</v>
      </c>
      <c r="H10" s="44">
        <f>H9*G4</f>
        <v>3.1066132335933196</v>
      </c>
    </row>
    <row r="11" spans="4:8" x14ac:dyDescent="0.25">
      <c r="D11" s="60">
        <v>6</v>
      </c>
      <c r="E11" s="52">
        <v>22.454168969333335</v>
      </c>
      <c r="F11" s="42">
        <f t="shared" si="0"/>
        <v>504.18970410337204</v>
      </c>
      <c r="G11" s="39" t="s">
        <v>48</v>
      </c>
      <c r="H11" s="46">
        <f>((H10)/H6)</f>
        <v>9.8651810058849834E-2</v>
      </c>
    </row>
    <row r="12" spans="4:8" x14ac:dyDescent="0.25">
      <c r="D12" s="60">
        <v>7</v>
      </c>
      <c r="E12" s="52">
        <v>30.038071084000002</v>
      </c>
      <c r="F12" s="42">
        <f t="shared" si="0"/>
        <v>902.28571444743704</v>
      </c>
      <c r="G12" s="39" t="s">
        <v>49</v>
      </c>
      <c r="H12" s="44">
        <f>H6+H10</f>
        <v>34.597299838736177</v>
      </c>
    </row>
    <row r="13" spans="4:8" x14ac:dyDescent="0.25">
      <c r="D13" s="39"/>
      <c r="E13" s="45"/>
      <c r="F13" s="42">
        <f t="shared" si="0"/>
        <v>0</v>
      </c>
      <c r="G13" s="39" t="s">
        <v>50</v>
      </c>
      <c r="H13" s="44">
        <f>H6-H10</f>
        <v>28.384073371549537</v>
      </c>
    </row>
    <row r="14" spans="4:8" x14ac:dyDescent="0.25">
      <c r="D14" s="39"/>
      <c r="E14" s="45"/>
      <c r="F14" s="42">
        <f t="shared" si="0"/>
        <v>0</v>
      </c>
      <c r="G14" s="39"/>
      <c r="H14" s="44"/>
    </row>
    <row r="15" spans="4:8" x14ac:dyDescent="0.25">
      <c r="D15" s="39"/>
      <c r="E15" s="45"/>
      <c r="F15" s="42">
        <f t="shared" si="0"/>
        <v>0</v>
      </c>
      <c r="G15" s="39"/>
      <c r="H15" s="44"/>
    </row>
    <row r="16" spans="4:8" x14ac:dyDescent="0.25">
      <c r="D16" s="39" t="s">
        <v>51</v>
      </c>
      <c r="E16" s="47">
        <f>SUM(E6:E15)</f>
        <v>220.43480623599999</v>
      </c>
      <c r="F16" s="47">
        <f>SUM(F6:F15)</f>
        <v>7065.1060147260523</v>
      </c>
      <c r="G16" s="39"/>
      <c r="H16" s="39"/>
    </row>
  </sheetData>
  <mergeCells count="1">
    <mergeCell ref="D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ColWidth="11.42578125" defaultRowHeight="15" x14ac:dyDescent="0.25"/>
  <sheetData>
    <row r="1" spans="1:3" x14ac:dyDescent="0.25">
      <c r="A1" s="64" t="s">
        <v>21</v>
      </c>
      <c r="B1" s="64" t="s">
        <v>71</v>
      </c>
      <c r="C1" s="64" t="s">
        <v>72</v>
      </c>
    </row>
    <row r="2" spans="1:3" x14ac:dyDescent="0.25">
      <c r="A2" s="1">
        <v>1</v>
      </c>
      <c r="B2" s="1">
        <v>401163</v>
      </c>
      <c r="C2" s="1">
        <v>1719491</v>
      </c>
    </row>
    <row r="3" spans="1:3" x14ac:dyDescent="0.25">
      <c r="A3" s="1">
        <v>2</v>
      </c>
      <c r="B3" s="1">
        <v>401321</v>
      </c>
      <c r="C3" s="1">
        <v>1719506</v>
      </c>
    </row>
    <row r="4" spans="1:3" x14ac:dyDescent="0.25">
      <c r="A4" s="1">
        <v>3</v>
      </c>
      <c r="B4" s="1">
        <v>401404</v>
      </c>
      <c r="C4" s="1">
        <v>1719336</v>
      </c>
    </row>
    <row r="5" spans="1:3" x14ac:dyDescent="0.25">
      <c r="A5" s="1">
        <v>4</v>
      </c>
      <c r="B5" s="1">
        <v>401249</v>
      </c>
      <c r="C5" s="1">
        <v>1719214</v>
      </c>
    </row>
    <row r="6" spans="1:3" x14ac:dyDescent="0.25">
      <c r="A6" s="1">
        <v>5</v>
      </c>
      <c r="B6" s="1">
        <v>401168</v>
      </c>
      <c r="C6" s="1">
        <v>1719244</v>
      </c>
    </row>
    <row r="7" spans="1:3" x14ac:dyDescent="0.25">
      <c r="A7" s="1">
        <v>6</v>
      </c>
      <c r="B7" s="1">
        <v>401112</v>
      </c>
      <c r="C7" s="1">
        <v>1719271</v>
      </c>
    </row>
    <row r="8" spans="1:3" x14ac:dyDescent="0.25">
      <c r="A8" s="1">
        <v>7</v>
      </c>
      <c r="B8" s="1">
        <v>401154</v>
      </c>
      <c r="C8" s="1">
        <v>1719302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3" sqref="D3"/>
    </sheetView>
  </sheetViews>
  <sheetFormatPr baseColWidth="10" defaultColWidth="11.42578125" defaultRowHeight="15" x14ac:dyDescent="0.25"/>
  <cols>
    <col min="1" max="1" width="11.42578125" style="1"/>
    <col min="5" max="5" width="14" bestFit="1" customWidth="1"/>
    <col min="8" max="8" width="24.28515625" bestFit="1" customWidth="1"/>
  </cols>
  <sheetData>
    <row r="1" spans="1:11" x14ac:dyDescent="0.25">
      <c r="A1" s="67" t="s">
        <v>78</v>
      </c>
      <c r="B1" s="64" t="s">
        <v>21</v>
      </c>
      <c r="C1" s="64" t="s">
        <v>71</v>
      </c>
      <c r="D1" s="64" t="s">
        <v>72</v>
      </c>
      <c r="E1" s="65" t="s">
        <v>73</v>
      </c>
      <c r="F1" s="65" t="s">
        <v>74</v>
      </c>
      <c r="G1" s="65" t="s">
        <v>75</v>
      </c>
      <c r="H1" s="67" t="s">
        <v>79</v>
      </c>
      <c r="I1" s="67" t="s">
        <v>80</v>
      </c>
      <c r="J1" s="67" t="s">
        <v>81</v>
      </c>
      <c r="K1" s="65" t="s">
        <v>76</v>
      </c>
    </row>
    <row r="2" spans="1:11" x14ac:dyDescent="0.25">
      <c r="A2" s="68" t="s">
        <v>82</v>
      </c>
      <c r="B2" s="1">
        <v>1</v>
      </c>
      <c r="C2" s="1">
        <v>401215</v>
      </c>
      <c r="D2" s="1">
        <v>1719484</v>
      </c>
      <c r="E2">
        <f>500/10000</f>
        <v>0.05</v>
      </c>
      <c r="G2" s="66">
        <v>41306</v>
      </c>
      <c r="K2" t="s">
        <v>77</v>
      </c>
    </row>
    <row r="3" spans="1:11" x14ac:dyDescent="0.25">
      <c r="A3" s="68" t="s">
        <v>82</v>
      </c>
      <c r="B3" s="1">
        <v>2</v>
      </c>
      <c r="C3" s="1">
        <v>401240</v>
      </c>
      <c r="D3" s="1">
        <v>1719430</v>
      </c>
      <c r="E3" s="1">
        <f t="shared" ref="E3:E8" si="0">500/10000</f>
        <v>0.05</v>
      </c>
      <c r="G3" s="66">
        <v>41306</v>
      </c>
      <c r="K3" s="1" t="s">
        <v>77</v>
      </c>
    </row>
    <row r="4" spans="1:11" x14ac:dyDescent="0.25">
      <c r="A4" s="68" t="s">
        <v>82</v>
      </c>
      <c r="B4" s="1">
        <v>3</v>
      </c>
      <c r="C4" s="1">
        <v>401306</v>
      </c>
      <c r="D4" s="1">
        <v>1719436</v>
      </c>
      <c r="E4" s="1">
        <f t="shared" si="0"/>
        <v>0.05</v>
      </c>
      <c r="G4" s="66">
        <v>41306</v>
      </c>
      <c r="K4" s="1" t="s">
        <v>77</v>
      </c>
    </row>
    <row r="5" spans="1:11" x14ac:dyDescent="0.25">
      <c r="A5" s="68" t="s">
        <v>82</v>
      </c>
      <c r="B5" s="1">
        <v>4</v>
      </c>
      <c r="C5" s="1">
        <v>401288</v>
      </c>
      <c r="D5" s="1">
        <v>1719369</v>
      </c>
      <c r="E5" s="1">
        <f t="shared" si="0"/>
        <v>0.05</v>
      </c>
      <c r="G5" s="66">
        <v>41306</v>
      </c>
      <c r="K5" s="1" t="s">
        <v>77</v>
      </c>
    </row>
    <row r="6" spans="1:11" x14ac:dyDescent="0.25">
      <c r="A6" s="68" t="s">
        <v>82</v>
      </c>
      <c r="B6" s="1">
        <v>5</v>
      </c>
      <c r="C6" s="1">
        <v>401377</v>
      </c>
      <c r="D6" s="1">
        <v>1719323</v>
      </c>
      <c r="E6" s="1">
        <f t="shared" si="0"/>
        <v>0.05</v>
      </c>
      <c r="G6" s="66">
        <v>41306</v>
      </c>
      <c r="K6" s="1" t="s">
        <v>77</v>
      </c>
    </row>
    <row r="7" spans="1:11" x14ac:dyDescent="0.25">
      <c r="A7" s="68" t="s">
        <v>82</v>
      </c>
      <c r="B7" s="1">
        <v>6</v>
      </c>
      <c r="C7" s="1">
        <v>401246</v>
      </c>
      <c r="D7" s="1">
        <v>1719242</v>
      </c>
      <c r="E7" s="1">
        <f t="shared" si="0"/>
        <v>0.05</v>
      </c>
      <c r="G7" s="66">
        <v>41306</v>
      </c>
      <c r="K7" s="1" t="s">
        <v>77</v>
      </c>
    </row>
    <row r="8" spans="1:11" x14ac:dyDescent="0.25">
      <c r="A8" s="68" t="s">
        <v>82</v>
      </c>
      <c r="B8" s="1">
        <v>7</v>
      </c>
      <c r="C8" s="1">
        <v>401170</v>
      </c>
      <c r="D8" s="1">
        <v>1719279</v>
      </c>
      <c r="E8" s="1">
        <f t="shared" si="0"/>
        <v>0.05</v>
      </c>
      <c r="G8" s="66">
        <v>41306</v>
      </c>
      <c r="K8" s="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dcterms:created xsi:type="dcterms:W3CDTF">2013-02-20T15:36:32Z</dcterms:created>
  <dcterms:modified xsi:type="dcterms:W3CDTF">2017-03-27T00:01:50Z</dcterms:modified>
</cp:coreProperties>
</file>