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CARBONO_REDD+GT\ASINFOR\HENRY_LOPEZ_IF_2013\"/>
    </mc:Choice>
  </mc:AlternateContent>
  <bookViews>
    <workbookView xWindow="930" yWindow="0" windowWidth="20670" windowHeight="10020" firstSheet="1" activeTab="7"/>
  </bookViews>
  <sheets>
    <sheet name="base de datos" sheetId="1" r:id="rId1"/>
    <sheet name="% de abundancia" sheetId="4" r:id="rId2"/>
    <sheet name="cuadro 3" sheetId="5" r:id="rId3"/>
    <sheet name="anexo 2" sheetId="6" r:id="rId4"/>
    <sheet name="anexo 3" sheetId="7" r:id="rId5"/>
    <sheet name="analisis" sheetId="2" r:id="rId6"/>
    <sheet name="P. referencia" sheetId="8" r:id="rId7"/>
    <sheet name="Parcelas" sheetId="9" r:id="rId8"/>
  </sheets>
  <definedNames>
    <definedName name="_xlnm._FilterDatabase" localSheetId="0" hidden="1">'base de datos'!$A$1:$L$35</definedName>
  </definedNames>
  <calcPr calcId="152511"/>
  <pivotCaches>
    <pivotCache cacheId="56" r:id="rId9"/>
  </pivotCaches>
</workbook>
</file>

<file path=xl/calcChain.xml><?xml version="1.0" encoding="utf-8"?>
<calcChain xmlns="http://schemas.openxmlformats.org/spreadsheetml/2006/main">
  <c r="E5" i="9" l="1"/>
  <c r="E4" i="9"/>
  <c r="E3" i="9"/>
  <c r="E2" i="9"/>
  <c r="G6" i="6" l="1"/>
  <c r="G7" i="6"/>
  <c r="G8" i="6"/>
  <c r="G9" i="6"/>
  <c r="G5" i="6"/>
  <c r="G16" i="7" l="1"/>
  <c r="G17" i="7"/>
  <c r="G18" i="7"/>
  <c r="G19" i="7"/>
  <c r="G6" i="7"/>
  <c r="G7" i="7"/>
  <c r="G8" i="7"/>
  <c r="G9" i="7"/>
  <c r="G10" i="7"/>
  <c r="G11" i="7"/>
  <c r="G12" i="7"/>
  <c r="G13" i="7"/>
  <c r="G14" i="7"/>
  <c r="G15" i="7"/>
  <c r="G5" i="7"/>
  <c r="J21" i="1"/>
  <c r="J20" i="1"/>
  <c r="J17" i="1"/>
  <c r="J13" i="1"/>
  <c r="J35" i="1"/>
  <c r="J19" i="1"/>
  <c r="J18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16" i="1"/>
  <c r="J15" i="1"/>
  <c r="J14" i="1"/>
  <c r="J12" i="1"/>
  <c r="J11" i="1"/>
  <c r="J10" i="1"/>
  <c r="J9" i="1"/>
  <c r="J8" i="1"/>
  <c r="J7" i="1"/>
  <c r="J5" i="1"/>
  <c r="J4" i="1"/>
  <c r="J3" i="1"/>
  <c r="J2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D16" i="5"/>
  <c r="D15" i="5"/>
  <c r="D14" i="5"/>
  <c r="J6" i="1"/>
  <c r="D18" i="4"/>
  <c r="D17" i="4"/>
  <c r="D16" i="4"/>
  <c r="C18" i="4"/>
  <c r="C17" i="4"/>
  <c r="C16" i="4"/>
  <c r="F16" i="5"/>
  <c r="H16" i="5"/>
  <c r="E16" i="5"/>
  <c r="E17" i="4"/>
  <c r="E15" i="5"/>
  <c r="G15" i="5"/>
  <c r="F15" i="5"/>
  <c r="E18" i="4"/>
  <c r="H15" i="5"/>
  <c r="I15" i="5"/>
  <c r="G14" i="5"/>
  <c r="E16" i="4"/>
  <c r="F14" i="5"/>
  <c r="I14" i="5"/>
  <c r="G16" i="5"/>
  <c r="E14" i="5"/>
  <c r="I16" i="5"/>
  <c r="H14" i="5"/>
  <c r="J15" i="5" l="1"/>
  <c r="J16" i="5"/>
  <c r="E19" i="4"/>
  <c r="H3" i="1"/>
  <c r="N3" i="1"/>
  <c r="K35" i="1" s="1"/>
  <c r="K10" i="4"/>
  <c r="L7" i="5"/>
  <c r="C16" i="2"/>
  <c r="F6" i="2" s="1"/>
  <c r="D15" i="2"/>
  <c r="D14" i="2"/>
  <c r="D13" i="2"/>
  <c r="D12" i="2"/>
  <c r="D11" i="2"/>
  <c r="D10" i="2"/>
  <c r="D9" i="2"/>
  <c r="D8" i="2"/>
  <c r="D7" i="2"/>
  <c r="D6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F17" i="5"/>
  <c r="I17" i="5"/>
  <c r="G17" i="5"/>
  <c r="H17" i="5"/>
  <c r="F16" i="4" l="1"/>
  <c r="I20" i="1"/>
  <c r="I24" i="1"/>
  <c r="I28" i="1"/>
  <c r="I32" i="1"/>
  <c r="K21" i="1"/>
  <c r="K25" i="1"/>
  <c r="K29" i="1"/>
  <c r="K33" i="1"/>
  <c r="I18" i="1"/>
  <c r="I22" i="1"/>
  <c r="I26" i="1"/>
  <c r="I30" i="1"/>
  <c r="I34" i="1"/>
  <c r="K19" i="1"/>
  <c r="K23" i="1"/>
  <c r="K27" i="1"/>
  <c r="K31" i="1"/>
  <c r="L18" i="1"/>
  <c r="L20" i="1"/>
  <c r="L22" i="1"/>
  <c r="L24" i="1"/>
  <c r="L26" i="1"/>
  <c r="L30" i="1"/>
  <c r="L34" i="1"/>
  <c r="L19" i="1"/>
  <c r="L21" i="1"/>
  <c r="L23" i="1"/>
  <c r="L25" i="1"/>
  <c r="L27" i="1"/>
  <c r="L29" i="1"/>
  <c r="L31" i="1"/>
  <c r="L33" i="1"/>
  <c r="L35" i="1"/>
  <c r="L28" i="1"/>
  <c r="L32" i="1"/>
  <c r="I19" i="1"/>
  <c r="I21" i="1"/>
  <c r="I23" i="1"/>
  <c r="I25" i="1"/>
  <c r="I27" i="1"/>
  <c r="I29" i="1"/>
  <c r="I31" i="1"/>
  <c r="I33" i="1"/>
  <c r="I35" i="1"/>
  <c r="K18" i="1"/>
  <c r="K20" i="1"/>
  <c r="K22" i="1"/>
  <c r="K24" i="1"/>
  <c r="K26" i="1"/>
  <c r="K28" i="1"/>
  <c r="K30" i="1"/>
  <c r="K32" i="1"/>
  <c r="K34" i="1"/>
  <c r="I16" i="1"/>
  <c r="I15" i="1"/>
  <c r="I13" i="1"/>
  <c r="I12" i="1"/>
  <c r="I10" i="1"/>
  <c r="I9" i="1"/>
  <c r="I7" i="1"/>
  <c r="I5" i="1"/>
  <c r="D16" i="2"/>
  <c r="F7" i="2" s="1"/>
  <c r="F9" i="2" s="1"/>
  <c r="F10" i="2" s="1"/>
  <c r="F11" i="2" s="1"/>
  <c r="J17" i="5"/>
  <c r="F17" i="4"/>
  <c r="F18" i="4"/>
  <c r="L4" i="1"/>
  <c r="K4" i="1"/>
  <c r="K6" i="1"/>
  <c r="K8" i="1"/>
  <c r="K11" i="1"/>
  <c r="K14" i="1"/>
  <c r="K17" i="1"/>
  <c r="K3" i="1"/>
  <c r="K5" i="1"/>
  <c r="K7" i="1"/>
  <c r="K9" i="1"/>
  <c r="K10" i="1"/>
  <c r="K12" i="1"/>
  <c r="K13" i="1"/>
  <c r="K15" i="1"/>
  <c r="K16" i="1"/>
  <c r="K2" i="1"/>
  <c r="I2" i="1"/>
  <c r="I17" i="1"/>
  <c r="I14" i="1"/>
  <c r="I11" i="1"/>
  <c r="I8" i="1"/>
  <c r="I6" i="1"/>
  <c r="I4" i="1"/>
  <c r="I3" i="1"/>
  <c r="L14" i="1"/>
  <c r="L10" i="1"/>
  <c r="L9" i="1"/>
  <c r="L7" i="1"/>
  <c r="L5" i="1"/>
  <c r="L3" i="1"/>
  <c r="L2" i="1"/>
  <c r="L17" i="1"/>
  <c r="L16" i="1"/>
  <c r="L15" i="1"/>
  <c r="L13" i="1"/>
  <c r="L12" i="1"/>
  <c r="L11" i="1"/>
  <c r="L8" i="1"/>
  <c r="L6" i="1"/>
  <c r="E17" i="5"/>
  <c r="J14" i="5"/>
  <c r="F19" i="4" l="1"/>
  <c r="F8" i="2"/>
  <c r="F13" i="2"/>
  <c r="F12" i="2"/>
</calcChain>
</file>

<file path=xl/sharedStrings.xml><?xml version="1.0" encoding="utf-8"?>
<sst xmlns="http://schemas.openxmlformats.org/spreadsheetml/2006/main" count="225" uniqueCount="80">
  <si>
    <t>Parcela</t>
  </si>
  <si>
    <t>No. Arbol</t>
  </si>
  <si>
    <t>Nombre común</t>
  </si>
  <si>
    <t>Especie</t>
  </si>
  <si>
    <t>Clase diámetrica</t>
  </si>
  <si>
    <t>DAP (cm)</t>
  </si>
  <si>
    <t>Altura (m)</t>
  </si>
  <si>
    <t>Area Basal (m2)</t>
  </si>
  <si>
    <t>AB/Ha.</t>
  </si>
  <si>
    <t>Volumen (m3)</t>
  </si>
  <si>
    <t>Volumen/Ha.</t>
  </si>
  <si>
    <t>Densidad/Ha.</t>
  </si>
  <si>
    <t>Total general</t>
  </si>
  <si>
    <t>Cuenta de No. Arbol</t>
  </si>
  <si>
    <t>Suma de Densidad/Ha.</t>
  </si>
  <si>
    <t>Valores</t>
  </si>
  <si>
    <t>Promedio de DAP (cm)</t>
  </si>
  <si>
    <t>Promedio de Altura (m)</t>
  </si>
  <si>
    <t>Suma de AB/Ha.</t>
  </si>
  <si>
    <t>Suma de Volumen/Ha.</t>
  </si>
  <si>
    <t>No.</t>
  </si>
  <si>
    <t>NOMBRE COMUN</t>
  </si>
  <si>
    <t>ESPECIE</t>
  </si>
  <si>
    <t>PRESENCIA</t>
  </si>
  <si>
    <t>% DE ABUNDANCIA</t>
  </si>
  <si>
    <t>Total General</t>
  </si>
  <si>
    <t>Rodal</t>
  </si>
  <si>
    <t>Área (has)</t>
  </si>
  <si>
    <r>
      <t>Volumen m</t>
    </r>
    <r>
      <rPr>
        <b/>
        <sz val="11"/>
        <color theme="1"/>
        <rFont val="Calibri"/>
        <family val="2"/>
      </rPr>
      <t>³</t>
    </r>
  </si>
  <si>
    <t>Ha.</t>
  </si>
  <si>
    <t>Volumen/ Rodal</t>
  </si>
  <si>
    <t>No. De Parcela</t>
  </si>
  <si>
    <t>Volumen Total</t>
  </si>
  <si>
    <t>Especie y Clase Diametrica</t>
  </si>
  <si>
    <t>ANALISIS ESTADISTICO</t>
  </si>
  <si>
    <t>AREA (Ha.)</t>
  </si>
  <si>
    <t>VALOR DE T</t>
  </si>
  <si>
    <t>No. PARCELAS</t>
  </si>
  <si>
    <t>PARCELA</t>
  </si>
  <si>
    <t>VOLUMEN/ha</t>
  </si>
  <si>
    <t>(VOLUMEN)²</t>
  </si>
  <si>
    <t>PARAMETRO</t>
  </si>
  <si>
    <t>RESULTADO</t>
  </si>
  <si>
    <t>MEDIA ARITMETICA</t>
  </si>
  <si>
    <t xml:space="preserve">VARIANZA </t>
  </si>
  <si>
    <t>DESVIACION ESTANDAR</t>
  </si>
  <si>
    <t>ERROR ESTANDAR</t>
  </si>
  <si>
    <t>ERROR DE MUESTREO</t>
  </si>
  <si>
    <t xml:space="preserve">LIMITE SUPERIOR </t>
  </si>
  <si>
    <t>LIMITE INFERIOR</t>
  </si>
  <si>
    <t>TOTAL</t>
  </si>
  <si>
    <t>10 - 19.9</t>
  </si>
  <si>
    <t>20 - 29.9</t>
  </si>
  <si>
    <t>Aliso</t>
  </si>
  <si>
    <t>Alnus sp.</t>
  </si>
  <si>
    <t>ha.</t>
  </si>
  <si>
    <t>mts.</t>
  </si>
  <si>
    <t>Chulube</t>
  </si>
  <si>
    <t>Pinus psudostrobus</t>
  </si>
  <si>
    <t>30 - 39.9</t>
  </si>
  <si>
    <t>40 - 49.9</t>
  </si>
  <si>
    <t xml:space="preserve">Pino triste </t>
  </si>
  <si>
    <t>N.D</t>
  </si>
  <si>
    <t>50 - 59.9</t>
  </si>
  <si>
    <t>60 - 69.9</t>
  </si>
  <si>
    <t>70 - 79.9</t>
  </si>
  <si>
    <t>Arbutus xalapensis</t>
  </si>
  <si>
    <t>Rótulos de fila</t>
  </si>
  <si>
    <t>X</t>
  </si>
  <si>
    <t>Y</t>
  </si>
  <si>
    <t>Sabina Gregorio</t>
  </si>
  <si>
    <t>PROPIETARIO</t>
  </si>
  <si>
    <t>AREA PARCELA</t>
  </si>
  <si>
    <t>AREA TOTAL</t>
  </si>
  <si>
    <t>FECHA</t>
  </si>
  <si>
    <t>BASE_DATOS</t>
  </si>
  <si>
    <t>AÑO</t>
  </si>
  <si>
    <t>MUNICIPIO</t>
  </si>
  <si>
    <t>DEPTO</t>
  </si>
  <si>
    <t>BD13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</si>
</sst>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\ &quot;m³&quot;"/>
  </numFmts>
  <fonts count="11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9" fontId="4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0" fontId="2" fillId="4" borderId="1" xfId="0" applyFont="1" applyFill="1" applyBorder="1" applyAlignment="1">
      <alignment horizontal="left"/>
    </xf>
    <xf numFmtId="1" fontId="2" fillId="4" borderId="1" xfId="0" applyNumberFormat="1" applyFont="1" applyFill="1" applyBorder="1"/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1" fontId="2" fillId="5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 wrapText="1"/>
    </xf>
    <xf numFmtId="2" fontId="0" fillId="5" borderId="1" xfId="0" applyNumberFormat="1" applyFill="1" applyBorder="1" applyAlignment="1">
      <alignment horizontal="center" wrapText="1"/>
    </xf>
    <xf numFmtId="2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5" fillId="0" borderId="1" xfId="1" applyFont="1" applyBorder="1"/>
    <xf numFmtId="0" fontId="5" fillId="7" borderId="1" xfId="1" applyFont="1" applyFill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165" fontId="6" fillId="0" borderId="1" xfId="1" applyNumberFormat="1" applyFont="1" applyBorder="1" applyAlignment="1">
      <alignment horizontal="right"/>
    </xf>
    <xf numFmtId="164" fontId="6" fillId="0" borderId="1" xfId="1" applyNumberFormat="1" applyFont="1" applyBorder="1" applyAlignment="1">
      <alignment horizontal="right"/>
    </xf>
    <xf numFmtId="2" fontId="0" fillId="0" borderId="1" xfId="0" applyNumberFormat="1" applyFill="1" applyBorder="1" applyAlignment="1">
      <alignment horizontal="center" vertical="center"/>
    </xf>
    <xf numFmtId="10" fontId="6" fillId="8" borderId="1" xfId="2" applyNumberFormat="1" applyFont="1" applyFill="1" applyBorder="1" applyAlignment="1">
      <alignment horizontal="right"/>
    </xf>
    <xf numFmtId="164" fontId="6" fillId="0" borderId="1" xfId="1" applyNumberFormat="1" applyFont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2" fontId="0" fillId="5" borderId="2" xfId="0" applyNumberFormat="1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left"/>
    </xf>
    <xf numFmtId="0" fontId="0" fillId="3" borderId="0" xfId="0" applyFill="1" applyBorder="1"/>
    <xf numFmtId="0" fontId="2" fillId="5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2" fontId="0" fillId="0" borderId="0" xfId="0" applyNumberFormat="1" applyBorder="1"/>
    <xf numFmtId="0" fontId="7" fillId="9" borderId="0" xfId="0" applyFont="1" applyFill="1" applyBorder="1"/>
    <xf numFmtId="0" fontId="0" fillId="11" borderId="0" xfId="0" applyFill="1" applyBorder="1"/>
    <xf numFmtId="0" fontId="0" fillId="10" borderId="0" xfId="0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wrapText="1"/>
    </xf>
    <xf numFmtId="2" fontId="0" fillId="5" borderId="2" xfId="0" applyNumberFormat="1" applyFill="1" applyBorder="1" applyAlignment="1">
      <alignment horizontal="center"/>
    </xf>
    <xf numFmtId="2" fontId="2" fillId="4" borderId="1" xfId="0" applyNumberFormat="1" applyFont="1" applyFill="1" applyBorder="1"/>
    <xf numFmtId="2" fontId="2" fillId="4" borderId="1" xfId="0" applyNumberFormat="1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 vertical="center" wrapText="1"/>
    </xf>
    <xf numFmtId="2" fontId="0" fillId="3" borderId="0" xfId="0" applyNumberFormat="1" applyFont="1" applyFill="1" applyBorder="1" applyAlignment="1">
      <alignment horizontal="center" vertical="center"/>
    </xf>
    <xf numFmtId="2" fontId="2" fillId="5" borderId="0" xfId="0" applyNumberFormat="1" applyFont="1" applyFill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17" fontId="0" fillId="0" borderId="0" xfId="0" applyNumberFormat="1"/>
    <xf numFmtId="0" fontId="9" fillId="1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</cellXfs>
  <cellStyles count="3">
    <cellStyle name="Normal" xfId="0" builtinId="0"/>
    <cellStyle name="Normal 2" xfId="1"/>
    <cellStyle name="Porcentaje 2" xfId="2"/>
  </cellStyles>
  <dxfs count="40">
    <dxf>
      <border>
        <bottom style="thin">
          <color indexed="64"/>
        </bottom>
        <horizontal style="thin">
          <color indexed="64"/>
        </horizontal>
      </border>
    </dxf>
    <dxf>
      <alignment horizontal="center" readingOrder="0"/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alignment horizontal="center" readingOrder="0"/>
    </dxf>
    <dxf>
      <alignment horizontal="center" readingOrder="0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numFmt numFmtId="2" formatCode="0.00"/>
    </dxf>
    <dxf>
      <numFmt numFmtId="1" formatCode="0"/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final" refreshedDate="41757.697323842593" createdVersion="4" refreshedVersion="3" minRefreshableVersion="3" recordCount="34">
  <cacheSource type="worksheet">
    <worksheetSource ref="A1:L35" sheet="base de datos"/>
  </cacheSource>
  <cacheFields count="12">
    <cacheField name="Parcela" numFmtId="0">
      <sharedItems containsSemiMixedTypes="0" containsString="0" containsNumber="1" containsInteger="1" minValue="1" maxValue="5" count="5">
        <n v="1"/>
        <n v="2"/>
        <n v="3"/>
        <n v="4"/>
        <n v="5" u="1"/>
      </sharedItems>
    </cacheField>
    <cacheField name="No. Arbol" numFmtId="0">
      <sharedItems containsSemiMixedTypes="0" containsString="0" containsNumber="1" containsInteger="1" minValue="1" maxValue="10"/>
    </cacheField>
    <cacheField name="Nombre común" numFmtId="0">
      <sharedItems count="3">
        <s v="Pino triste "/>
        <s v="Chulube"/>
        <s v="Aliso"/>
      </sharedItems>
    </cacheField>
    <cacheField name="Especie" numFmtId="0">
      <sharedItems count="3">
        <s v="Pinus psudostrobus"/>
        <s v="N.D"/>
        <s v="Alnus sp."/>
      </sharedItems>
    </cacheField>
    <cacheField name="Clase diámetrica" numFmtId="0">
      <sharedItems count="7">
        <s v="40 - 49.9"/>
        <s v="10 - 19.9"/>
        <s v="20 - 29.9"/>
        <s v="50 - 59.9"/>
        <s v="30 - 39.9"/>
        <s v="60 - 69.9"/>
        <s v="70 - 79.9"/>
      </sharedItems>
    </cacheField>
    <cacheField name="DAP (cm)" numFmtId="0">
      <sharedItems containsSemiMixedTypes="0" containsString="0" containsNumber="1" minValue="11" maxValue="75"/>
    </cacheField>
    <cacheField name="Altura (m)" numFmtId="0">
      <sharedItems containsSemiMixedTypes="0" containsString="0" containsNumber="1" containsInteger="1" minValue="8" maxValue="22"/>
    </cacheField>
    <cacheField name="Area Basal (m2)" numFmtId="2">
      <sharedItems containsSemiMixedTypes="0" containsString="0" containsNumber="1" minValue="9.503339999999999E-3" maxValue="0.4417875"/>
    </cacheField>
    <cacheField name="AB/Ha." numFmtId="2">
      <sharedItems containsSemiMixedTypes="0" containsString="0" containsNumber="1" minValue="3.8013359999999996E-2" maxValue="1.76715"/>
    </cacheField>
    <cacheField name="Volumen (m3)" numFmtId="2">
      <sharedItems containsSemiMixedTypes="0" containsString="0" containsNumber="1" minValue="0.11629854432" maxValue="2.4712210340888001"/>
    </cacheField>
    <cacheField name="Volumen/Ha." numFmtId="2">
      <sharedItems containsSemiMixedTypes="0" containsString="0" containsNumber="1" minValue="0.46519417728000001" maxValue="9.8848841363552005"/>
    </cacheField>
    <cacheField name="Densidad/Ha." numFmtId="2">
      <sharedItems containsSemiMixedTypes="0" containsString="0" containsNumber="1" containsInteger="1" minValue="4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x v="0"/>
    <n v="1"/>
    <x v="0"/>
    <x v="0"/>
    <x v="0"/>
    <n v="41"/>
    <n v="22"/>
    <n v="0.13202573999999997"/>
    <n v="0.5281029599999999"/>
    <n v="1.06296201158"/>
    <n v="4.2518480463200001"/>
    <n v="4"/>
  </r>
  <r>
    <x v="0"/>
    <n v="2"/>
    <x v="0"/>
    <x v="0"/>
    <x v="1"/>
    <n v="19.3"/>
    <n v="16"/>
    <n v="2.9255364600000004E-2"/>
    <n v="0.11702145840000001"/>
    <n v="0.17556412835360002"/>
    <n v="0.7022565134144001"/>
    <n v="4"/>
  </r>
  <r>
    <x v="0"/>
    <n v="3"/>
    <x v="0"/>
    <x v="0"/>
    <x v="2"/>
    <n v="22"/>
    <n v="15"/>
    <n v="3.8013359999999996E-2"/>
    <n v="0.15205343999999998"/>
    <n v="0.21275558220000002"/>
    <n v="0.85102232880000006"/>
    <n v="4"/>
  </r>
  <r>
    <x v="0"/>
    <n v="4"/>
    <x v="0"/>
    <x v="0"/>
    <x v="3"/>
    <n v="50"/>
    <n v="19"/>
    <n v="0.19635"/>
    <n v="0.78539999999999999"/>
    <n v="1.3638324518000002"/>
    <n v="5.4553298072000009"/>
    <n v="4"/>
  </r>
  <r>
    <x v="0"/>
    <n v="5"/>
    <x v="1"/>
    <x v="1"/>
    <x v="1"/>
    <n v="14"/>
    <n v="8"/>
    <n v="1.5393840000000002E-2"/>
    <n v="6.157536000000001E-2"/>
    <n v="0.18124769800000001"/>
    <n v="0.72499079200000005"/>
    <n v="4"/>
  </r>
  <r>
    <x v="0"/>
    <n v="6"/>
    <x v="0"/>
    <x v="0"/>
    <x v="0"/>
    <n v="42"/>
    <n v="18"/>
    <n v="0.13854455999999998"/>
    <n v="0.55417823999999993"/>
    <n v="0.91335634488000006"/>
    <n v="3.6534253795200002"/>
    <n v="4"/>
  </r>
  <r>
    <x v="0"/>
    <n v="7"/>
    <x v="0"/>
    <x v="0"/>
    <x v="0"/>
    <n v="40"/>
    <n v="19"/>
    <n v="0.12566400000000003"/>
    <n v="0.5026560000000001"/>
    <n v="0.87468199280000003"/>
    <n v="3.4987279712000001"/>
    <n v="4"/>
  </r>
  <r>
    <x v="0"/>
    <n v="8"/>
    <x v="0"/>
    <x v="0"/>
    <x v="4"/>
    <n v="39.5"/>
    <n v="22"/>
    <n v="0.12254203500000002"/>
    <n v="0.49016814000000009"/>
    <n v="0.98697205869500004"/>
    <n v="3.9478882347800002"/>
    <n v="4"/>
  </r>
  <r>
    <x v="1"/>
    <n v="1"/>
    <x v="0"/>
    <x v="0"/>
    <x v="0"/>
    <n v="41"/>
    <n v="21"/>
    <n v="0.13202573999999997"/>
    <n v="0.5281029599999999"/>
    <n v="1.0148765190900002"/>
    <n v="4.0595060763600008"/>
    <n v="4"/>
  </r>
  <r>
    <x v="1"/>
    <n v="2"/>
    <x v="0"/>
    <x v="0"/>
    <x v="4"/>
    <n v="31"/>
    <n v="18"/>
    <n v="7.5476940000000006E-2"/>
    <n v="0.30190776000000002"/>
    <n v="0.49989548321999999"/>
    <n v="1.99958193288"/>
    <n v="4"/>
  </r>
  <r>
    <x v="1"/>
    <n v="3"/>
    <x v="0"/>
    <x v="0"/>
    <x v="4"/>
    <n v="37"/>
    <n v="17"/>
    <n v="0.10752125999999999"/>
    <n v="0.43008503999999997"/>
    <n v="0.67081209097000005"/>
    <n v="2.6832483638800002"/>
    <n v="4"/>
  </r>
  <r>
    <x v="1"/>
    <n v="5"/>
    <x v="1"/>
    <x v="1"/>
    <x v="2"/>
    <n v="24"/>
    <n v="14"/>
    <n v="4.5239040000000001E-2"/>
    <n v="0.18095616"/>
    <n v="0.48330520199999999"/>
    <n v="1.933220808"/>
    <n v="4"/>
  </r>
  <r>
    <x v="1"/>
    <n v="6"/>
    <x v="0"/>
    <x v="0"/>
    <x v="0"/>
    <n v="45"/>
    <n v="19"/>
    <n v="0.1590435"/>
    <n v="0.63617400000000002"/>
    <n v="1.1056697095500001"/>
    <n v="4.4226788382000004"/>
    <n v="4"/>
  </r>
  <r>
    <x v="1"/>
    <n v="7"/>
    <x v="0"/>
    <x v="0"/>
    <x v="2"/>
    <n v="25"/>
    <n v="16"/>
    <n v="4.9087499999999999E-2"/>
    <n v="0.19635"/>
    <n v="0.29113407679999997"/>
    <n v="1.1645363071999999"/>
    <n v="4"/>
  </r>
  <r>
    <x v="1"/>
    <n v="9"/>
    <x v="0"/>
    <x v="0"/>
    <x v="5"/>
    <n v="62.6"/>
    <n v="22"/>
    <n v="0.30777941040000001"/>
    <n v="1.2311176416"/>
    <n v="2.4712210340888001"/>
    <n v="9.8848841363552005"/>
    <n v="4"/>
  </r>
  <r>
    <x v="2"/>
    <n v="2"/>
    <x v="1"/>
    <x v="1"/>
    <x v="1"/>
    <n v="14"/>
    <n v="12"/>
    <n v="1.5393840000000002E-2"/>
    <n v="6.157536000000001E-2"/>
    <n v="0.21770291400000003"/>
    <n v="0.8708116560000001"/>
    <n v="4"/>
  </r>
  <r>
    <x v="2"/>
    <n v="3"/>
    <x v="2"/>
    <x v="2"/>
    <x v="2"/>
    <n v="20"/>
    <n v="15"/>
    <n v="3.1416000000000006E-2"/>
    <n v="0.12566400000000003"/>
    <n v="0.38733126600000001"/>
    <n v="1.549325064"/>
    <n v="4"/>
  </r>
  <r>
    <x v="2"/>
    <n v="4"/>
    <x v="2"/>
    <x v="2"/>
    <x v="1"/>
    <n v="12"/>
    <n v="13"/>
    <n v="1.130976E-2"/>
    <n v="4.5239040000000001E-2"/>
    <n v="0.19538339399999999"/>
    <n v="0.78153357599999995"/>
    <n v="4"/>
  </r>
  <r>
    <x v="2"/>
    <n v="5"/>
    <x v="1"/>
    <x v="1"/>
    <x v="1"/>
    <n v="11"/>
    <n v="8"/>
    <n v="9.503339999999999E-3"/>
    <n v="3.8013359999999996E-2"/>
    <n v="0.15334829799999999"/>
    <n v="0.61339319199999998"/>
    <n v="4"/>
  </r>
  <r>
    <x v="2"/>
    <n v="6"/>
    <x v="1"/>
    <x v="1"/>
    <x v="1"/>
    <n v="14"/>
    <n v="12"/>
    <n v="1.5393840000000002E-2"/>
    <n v="6.157536000000001E-2"/>
    <n v="0.21770291400000003"/>
    <n v="0.8708116560000001"/>
    <n v="4"/>
  </r>
  <r>
    <x v="2"/>
    <n v="7"/>
    <x v="0"/>
    <x v="0"/>
    <x v="2"/>
    <n v="20"/>
    <n v="13"/>
    <n v="3.1416000000000006E-2"/>
    <n v="0.12566400000000003"/>
    <n v="0.1538286848"/>
    <n v="0.61531473920000002"/>
    <n v="4"/>
  </r>
  <r>
    <x v="2"/>
    <n v="8"/>
    <x v="0"/>
    <x v="0"/>
    <x v="0"/>
    <n v="44"/>
    <n v="18"/>
    <n v="0.15205343999999998"/>
    <n v="0.60821375999999994"/>
    <n v="1.0019183227200001"/>
    <n v="4.0076732908800006"/>
    <n v="4"/>
  </r>
  <r>
    <x v="2"/>
    <n v="9"/>
    <x v="0"/>
    <x v="0"/>
    <x v="5"/>
    <n v="60"/>
    <n v="20"/>
    <n v="0.282744"/>
    <n v="1.130976"/>
    <n v="2.0646620568"/>
    <n v="8.2586482272000001"/>
    <n v="4"/>
  </r>
  <r>
    <x v="2"/>
    <n v="10"/>
    <x v="0"/>
    <x v="0"/>
    <x v="6"/>
    <n v="75"/>
    <n v="14"/>
    <n v="0.4417875"/>
    <n v="1.76715"/>
    <n v="2.2577477643000003"/>
    <n v="9.0309910572000014"/>
    <n v="4"/>
  </r>
  <r>
    <x v="3"/>
    <n v="1"/>
    <x v="0"/>
    <x v="0"/>
    <x v="0"/>
    <n v="44"/>
    <n v="19"/>
    <n v="0.15205343999999998"/>
    <n v="0.60821375999999994"/>
    <n v="1.0572981641600001"/>
    <n v="4.2291926566400004"/>
    <n v="4"/>
  </r>
  <r>
    <x v="3"/>
    <n v="2"/>
    <x v="0"/>
    <x v="0"/>
    <x v="4"/>
    <n v="35"/>
    <n v="17"/>
    <n v="9.6211499999999991E-2"/>
    <n v="0.38484599999999997"/>
    <n v="0.60078634104999995"/>
    <n v="2.4031453641999998"/>
    <n v="4"/>
  </r>
  <r>
    <x v="3"/>
    <n v="3"/>
    <x v="0"/>
    <x v="0"/>
    <x v="4"/>
    <n v="36"/>
    <n v="16"/>
    <n v="0.10178783999999999"/>
    <n v="0.40715135999999996"/>
    <n v="0.59824047024000004"/>
    <n v="2.3929618809600002"/>
    <n v="4"/>
  </r>
  <r>
    <x v="3"/>
    <n v="4"/>
    <x v="0"/>
    <x v="0"/>
    <x v="4"/>
    <n v="37"/>
    <n v="15"/>
    <n v="0.10752125999999999"/>
    <n v="0.43008503999999997"/>
    <n v="0.59249080695"/>
    <n v="2.3699632278"/>
    <n v="4"/>
  </r>
  <r>
    <x v="3"/>
    <n v="5"/>
    <x v="0"/>
    <x v="0"/>
    <x v="1"/>
    <n v="17"/>
    <n v="16"/>
    <n v="2.2698060000000003E-2"/>
    <n v="9.079224000000001E-2"/>
    <n v="0.13735203776000002"/>
    <n v="0.54940815104000007"/>
    <n v="4"/>
  </r>
  <r>
    <x v="3"/>
    <n v="6"/>
    <x v="0"/>
    <x v="0"/>
    <x v="4"/>
    <n v="37"/>
    <n v="11"/>
    <n v="0.10752125999999999"/>
    <n v="0.43008503999999997"/>
    <n v="0.43584823891000002"/>
    <n v="1.7433929556400001"/>
    <n v="4"/>
  </r>
  <r>
    <x v="3"/>
    <n v="7"/>
    <x v="0"/>
    <x v="0"/>
    <x v="1"/>
    <n v="18"/>
    <n v="12"/>
    <n v="2.5446959999999998E-2"/>
    <n v="0.10178783999999999"/>
    <n v="0.11629854432"/>
    <n v="0.46519417728000001"/>
    <n v="4"/>
  </r>
  <r>
    <x v="3"/>
    <n v="8"/>
    <x v="0"/>
    <x v="0"/>
    <x v="2"/>
    <n v="23"/>
    <n v="17"/>
    <n v="4.154766E-2"/>
    <n v="0.16619064"/>
    <n v="0.26232854976999997"/>
    <n v="1.0493141990799999"/>
    <n v="4"/>
  </r>
  <r>
    <x v="3"/>
    <n v="9"/>
    <x v="0"/>
    <x v="0"/>
    <x v="0"/>
    <n v="47"/>
    <n v="21"/>
    <n v="0.17349485999999997"/>
    <n v="0.69397943999999989"/>
    <n v="1.3320519746100001"/>
    <n v="5.3282078984400005"/>
    <n v="4"/>
  </r>
  <r>
    <x v="3"/>
    <n v="10"/>
    <x v="2"/>
    <x v="2"/>
    <x v="1"/>
    <n v="19"/>
    <n v="12"/>
    <n v="2.835294E-2"/>
    <n v="0.11341176"/>
    <n v="0.309770934"/>
    <n v="1.239083736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56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B10" firstHeaderRow="1" firstDataRow="1" firstDataCol="1"/>
  <pivotFields count="12">
    <pivotField showAll="0"/>
    <pivotField dataField="1" showAll="0"/>
    <pivotField axis="axisRow" showAll="0">
      <items count="4">
        <item x="2"/>
        <item x="1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</pivotFields>
  <rowFields count="2">
    <field x="3"/>
    <field x="2"/>
  </rowFields>
  <rowItems count="7">
    <i>
      <x/>
    </i>
    <i r="1">
      <x/>
    </i>
    <i>
      <x v="1"/>
    </i>
    <i r="1">
      <x v="2"/>
    </i>
    <i>
      <x v="2"/>
    </i>
    <i r="1">
      <x v="1"/>
    </i>
    <i t="grand">
      <x/>
    </i>
  </rowItems>
  <colItems count="1">
    <i/>
  </colItems>
  <dataFields count="1">
    <dataField name="Cuenta de No. Arbol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" cacheId="56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F8" firstHeaderRow="1" firstDataRow="2" firstDataCol="1"/>
  <pivotFields count="12"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dataField="1" showAll="0"/>
    <pivotField dataField="1" showAll="0"/>
    <pivotField numFmtId="2" showAll="0"/>
    <pivotField dataField="1" numFmtId="2" showAll="0"/>
    <pivotField numFmtId="2" showAll="0"/>
    <pivotField dataField="1" numFmtId="2" showAll="0"/>
    <pivotField dataField="1" numFmtId="2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Densidad/Ha." fld="11" baseField="0" baseItem="0" numFmtId="1"/>
    <dataField name="Promedio de DAP (cm)" fld="5" subtotal="average" baseField="0" baseItem="0" numFmtId="2"/>
    <dataField name="Promedio de Altura (m)" fld="6" subtotal="average" baseField="0" baseItem="0" numFmtId="2"/>
    <dataField name="Suma de AB/Ha." fld="8" baseField="0" baseItem="0" numFmtId="2"/>
    <dataField name="Suma de Volumen/Ha." fld="10" baseField="0" baseItem="0" numFmtId="2"/>
  </dataFields>
  <formats count="2">
    <format dxfId="3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8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3" cacheId="56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rowHeaderCaption="No. De Parcela">
  <location ref="A3:F9" firstHeaderRow="1" firstDataRow="2" firstDataCol="1"/>
  <pivotFields count="12">
    <pivotField axis="axisRow" showAll="0">
      <items count="6">
        <item x="0"/>
        <item x="1"/>
        <item x="2"/>
        <item x="3"/>
        <item m="1" x="4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numFmtId="2" showAll="0"/>
    <pivotField dataField="1" numFmtId="2" showAll="0"/>
    <pivotField numFmtId="2" showAll="0"/>
    <pivotField dataField="1" numFmtId="2" showAll="0"/>
    <pivotField dataField="1" numFmtId="2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Densidad/Ha." fld="11" baseField="0" baseItem="0" numFmtId="1"/>
    <dataField name="Promedio de DAP (cm)" fld="5" subtotal="average" baseField="0" baseItem="0" numFmtId="2"/>
    <dataField name="Promedio de Altura (m)" fld="6" subtotal="average" baseField="0" baseItem="0" numFmtId="2"/>
    <dataField name="Suma de AB/Ha." fld="8" baseField="0" baseItem="0" numFmtId="2"/>
    <dataField name="Suma de Volumen/Ha." fld="10" baseField="0" baseItem="0" numFmtId="2"/>
  </dataFields>
  <formats count="21">
    <format dxfId="3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6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35">
      <pivotArea outline="0" collapsedLevelsAreSubtotals="1" fieldPosition="0"/>
    </format>
    <format dxfId="34">
      <pivotArea field="0" type="button" dataOnly="0" labelOnly="1" outline="0" axis="axisRow" fieldPosition="0"/>
    </format>
    <format dxfId="33">
      <pivotArea dataOnly="0" labelOnly="1" fieldPosition="0">
        <references count="1">
          <reference field="0" count="0"/>
        </references>
      </pivotArea>
    </format>
    <format dxfId="32">
      <pivotArea dataOnly="0" labelOnly="1" grandRow="1" outline="0" fieldPosition="0"/>
    </format>
    <format dxfId="3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0">
      <pivotArea outline="0" collapsedLevelsAreSubtotals="1" fieldPosition="0"/>
    </format>
    <format dxfId="29">
      <pivotArea field="0" type="button" dataOnly="0" labelOnly="1" outline="0" axis="axisRow" fieldPosition="0"/>
    </format>
    <format dxfId="28">
      <pivotArea dataOnly="0" labelOnly="1" fieldPosition="0">
        <references count="1">
          <reference field="0" count="0"/>
        </references>
      </pivotArea>
    </format>
    <format dxfId="27">
      <pivotArea dataOnly="0" labelOnly="1" grandRow="1" outline="0" fieldPosition="0"/>
    </format>
    <format dxfId="2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5">
      <pivotArea outline="0" collapsedLevelsAreSubtotals="1" fieldPosition="0"/>
    </format>
    <format dxfId="24">
      <pivotArea field="0" type="button" dataOnly="0" labelOnly="1" outline="0" axis="axisRow" fieldPosition="0"/>
    </format>
    <format dxfId="23">
      <pivotArea dataOnly="0" labelOnly="1" fieldPosition="0">
        <references count="1">
          <reference field="0" count="0"/>
        </references>
      </pivotArea>
    </format>
    <format dxfId="22">
      <pivotArea dataOnly="0" labelOnly="1" grandRow="1" outline="0" fieldPosition="0"/>
    </format>
    <format dxfId="2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0">
      <pivotArea field="0" type="button" dataOnly="0" labelOnly="1" outline="0" axis="axisRow" fieldPosition="0"/>
    </format>
    <format dxfId="1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8">
      <pivotArea grandRow="1" outline="0" collapsedLevelsAreSubtotals="1" fieldPosition="0"/>
    </format>
    <format dxfId="17">
      <pivotArea dataOnly="0" labelOnly="1" grandRow="1" outline="0" fieldPosition="0"/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4" cacheId="56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rowHeaderCaption="Especie y Clase Diametrica">
  <location ref="A3:F19" firstHeaderRow="1" firstDataRow="2" firstDataCol="1"/>
  <pivotFields count="12"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Row" showAll="0">
      <items count="8">
        <item x="1"/>
        <item x="2"/>
        <item x="4"/>
        <item x="0"/>
        <item x="3"/>
        <item x="5"/>
        <item x="6"/>
        <item t="default"/>
      </items>
    </pivotField>
    <pivotField dataField="1" showAll="0"/>
    <pivotField dataField="1" showAll="0"/>
    <pivotField numFmtId="2" showAll="0"/>
    <pivotField dataField="1" numFmtId="2" showAll="0"/>
    <pivotField numFmtId="2" showAll="0"/>
    <pivotField dataField="1" numFmtId="2" showAll="0"/>
    <pivotField dataField="1" numFmtId="2" showAll="0"/>
  </pivotFields>
  <rowFields count="2">
    <field x="3"/>
    <field x="4"/>
  </rowFields>
  <rowItems count="15">
    <i>
      <x/>
    </i>
    <i r="1">
      <x/>
    </i>
    <i r="1">
      <x v="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Densidad/Ha." fld="11" baseField="0" baseItem="0" numFmtId="1"/>
    <dataField name="Promedio de DAP (cm)" fld="5" subtotal="average" baseField="0" baseItem="0" numFmtId="2"/>
    <dataField name="Promedio de Altura (m)" fld="6" subtotal="average" baseField="0" baseItem="0" numFmtId="2"/>
    <dataField name="Suma de AB/Ha." fld="8" baseField="0" baseItem="0" numFmtId="2"/>
    <dataField name="Suma de Volumen/Ha." fld="10" baseField="0" baseItem="0" numFmtId="2"/>
  </dataFields>
  <formats count="17">
    <format dxfId="1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14">
      <pivotArea field="3" type="button" dataOnly="0" labelOnly="1" outline="0" axis="axisRow" fieldPosition="0"/>
    </format>
    <format dxfId="1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2">
      <pivotArea outline="0" collapsedLevelsAreSubtotals="1" fieldPosition="0"/>
    </format>
    <format dxfId="11">
      <pivotArea field="3" type="button" dataOnly="0" labelOnly="1" outline="0" axis="axisRow" fieldPosition="0"/>
    </format>
    <format dxfId="10">
      <pivotArea dataOnly="0" labelOnly="1" fieldPosition="0">
        <references count="1">
          <reference field="3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">
      <pivotArea field="3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outline="0" collapsedLevelsAreSubtotals="1" fieldPosition="0"/>
    </format>
    <format dxfId="0">
      <pivotArea field="3" grandRow="1" outline="0" collapsedLevelsAreSubtotals="1" axis="axisRow" fieldPosition="0">
        <references count="1">
          <reference field="4294967294" count="2" selected="0"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zoomScale="78" zoomScaleNormal="78" workbookViewId="0">
      <selection activeCell="N6" sqref="N6"/>
    </sheetView>
  </sheetViews>
  <sheetFormatPr baseColWidth="10" defaultColWidth="11.42578125" defaultRowHeight="15" x14ac:dyDescent="0.25"/>
  <cols>
    <col min="1" max="1" width="9.140625" customWidth="1"/>
    <col min="2" max="2" width="9.5703125" customWidth="1"/>
    <col min="3" max="3" width="13" customWidth="1"/>
    <col min="4" max="4" width="24.140625" customWidth="1"/>
  </cols>
  <sheetData>
    <row r="1" spans="1:14" ht="24" x14ac:dyDescent="0.25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7"/>
      <c r="N1" s="57"/>
    </row>
    <row r="2" spans="1:14" x14ac:dyDescent="0.25">
      <c r="A2" s="57">
        <v>1</v>
      </c>
      <c r="B2" s="57">
        <v>1</v>
      </c>
      <c r="C2" s="57" t="s">
        <v>61</v>
      </c>
      <c r="D2" s="57" t="s">
        <v>58</v>
      </c>
      <c r="E2" s="57" t="s">
        <v>60</v>
      </c>
      <c r="F2" s="73">
        <v>41</v>
      </c>
      <c r="G2" s="74">
        <v>22</v>
      </c>
      <c r="H2" s="58">
        <f t="shared" ref="H2:H3" si="0">0.7854*(F2/100)^2</f>
        <v>0.13202573999999997</v>
      </c>
      <c r="I2" s="3">
        <f>H2*1/$N$3</f>
        <v>0.5281029599999999</v>
      </c>
      <c r="J2" s="58">
        <f>(0.0050811768+0.00002860529*(F2^2*G2))</f>
        <v>1.06296201158</v>
      </c>
      <c r="K2" s="3">
        <f>J2/$N$3</f>
        <v>4.2518480463200001</v>
      </c>
      <c r="L2" s="3">
        <f t="shared" ref="L2:L35" si="1">1*1/$N$3</f>
        <v>4</v>
      </c>
      <c r="M2" s="59" t="s">
        <v>56</v>
      </c>
      <c r="N2" s="59" t="s">
        <v>55</v>
      </c>
    </row>
    <row r="3" spans="1:14" x14ac:dyDescent="0.25">
      <c r="A3" s="57">
        <v>1</v>
      </c>
      <c r="B3" s="57">
        <v>2</v>
      </c>
      <c r="C3" s="57" t="s">
        <v>61</v>
      </c>
      <c r="D3" s="57" t="s">
        <v>58</v>
      </c>
      <c r="E3" s="57" t="s">
        <v>51</v>
      </c>
      <c r="F3" s="73">
        <v>19.3</v>
      </c>
      <c r="G3" s="74">
        <v>16</v>
      </c>
      <c r="H3" s="58">
        <f t="shared" si="0"/>
        <v>2.9255364600000004E-2</v>
      </c>
      <c r="I3" s="3">
        <f t="shared" ref="I3:I17" si="2">H3*1/$N$3</f>
        <v>0.11702145840000001</v>
      </c>
      <c r="J3" s="58">
        <f t="shared" ref="J3:J5" si="3">(0.0050811768+0.00002860529*(F3^2*G3))</f>
        <v>0.17556412835360002</v>
      </c>
      <c r="K3" s="3">
        <f t="shared" ref="K3:K17" si="4">J3/$N$3</f>
        <v>0.7022565134144001</v>
      </c>
      <c r="L3" s="3">
        <f t="shared" si="1"/>
        <v>4</v>
      </c>
      <c r="M3" s="60">
        <v>2500</v>
      </c>
      <c r="N3" s="61">
        <f>M3/10000</f>
        <v>0.25</v>
      </c>
    </row>
    <row r="4" spans="1:14" x14ac:dyDescent="0.25">
      <c r="A4" s="57">
        <v>1</v>
      </c>
      <c r="B4" s="57">
        <v>3</v>
      </c>
      <c r="C4" s="57" t="s">
        <v>61</v>
      </c>
      <c r="D4" s="57" t="s">
        <v>58</v>
      </c>
      <c r="E4" s="57" t="s">
        <v>52</v>
      </c>
      <c r="F4" s="73">
        <v>22</v>
      </c>
      <c r="G4" s="74">
        <v>15</v>
      </c>
      <c r="H4" s="58">
        <f t="shared" ref="H4:H17" si="5">0.7854*(F4/100)^2</f>
        <v>3.8013359999999996E-2</v>
      </c>
      <c r="I4" s="3">
        <f t="shared" si="2"/>
        <v>0.15205343999999998</v>
      </c>
      <c r="J4" s="58">
        <f t="shared" si="3"/>
        <v>0.21275558220000002</v>
      </c>
      <c r="K4" s="3">
        <f t="shared" si="4"/>
        <v>0.85102232880000006</v>
      </c>
      <c r="L4" s="3">
        <f t="shared" si="1"/>
        <v>4</v>
      </c>
      <c r="M4" s="57"/>
      <c r="N4" s="57"/>
    </row>
    <row r="5" spans="1:14" x14ac:dyDescent="0.25">
      <c r="A5" s="57">
        <v>1</v>
      </c>
      <c r="B5" s="57">
        <v>4</v>
      </c>
      <c r="C5" s="57" t="s">
        <v>61</v>
      </c>
      <c r="D5" s="57" t="s">
        <v>58</v>
      </c>
      <c r="E5" s="57" t="s">
        <v>63</v>
      </c>
      <c r="F5" s="73">
        <v>50</v>
      </c>
      <c r="G5" s="74">
        <v>19</v>
      </c>
      <c r="H5" s="58">
        <f t="shared" si="5"/>
        <v>0.19635</v>
      </c>
      <c r="I5" s="3">
        <f t="shared" si="2"/>
        <v>0.78539999999999999</v>
      </c>
      <c r="J5" s="58">
        <f t="shared" si="3"/>
        <v>1.3638324518000002</v>
      </c>
      <c r="K5" s="3">
        <f t="shared" si="4"/>
        <v>5.4553298072000009</v>
      </c>
      <c r="L5" s="3">
        <f t="shared" si="1"/>
        <v>4</v>
      </c>
      <c r="M5" s="57"/>
      <c r="N5" s="57"/>
    </row>
    <row r="6" spans="1:14" x14ac:dyDescent="0.25">
      <c r="A6" s="57">
        <v>1</v>
      </c>
      <c r="B6" s="57">
        <v>5</v>
      </c>
      <c r="C6" s="57" t="s">
        <v>57</v>
      </c>
      <c r="D6" s="78" t="s">
        <v>66</v>
      </c>
      <c r="E6" s="57" t="s">
        <v>51</v>
      </c>
      <c r="F6" s="73">
        <v>14</v>
      </c>
      <c r="G6" s="74">
        <v>8</v>
      </c>
      <c r="H6" s="58">
        <f t="shared" si="5"/>
        <v>1.5393840000000002E-2</v>
      </c>
      <c r="I6" s="3">
        <f t="shared" si="2"/>
        <v>6.157536000000001E-2</v>
      </c>
      <c r="J6" s="58">
        <f t="shared" ref="J6" si="6">(0.108337266+0.000046499*(F6^2*G6))</f>
        <v>0.18124769800000001</v>
      </c>
      <c r="K6" s="3">
        <f t="shared" si="4"/>
        <v>0.72499079200000005</v>
      </c>
      <c r="L6" s="3">
        <f t="shared" si="1"/>
        <v>4</v>
      </c>
      <c r="M6" s="9">
        <v>500</v>
      </c>
      <c r="N6" s="9"/>
    </row>
    <row r="7" spans="1:14" x14ac:dyDescent="0.25">
      <c r="A7" s="57">
        <v>1</v>
      </c>
      <c r="B7" s="57">
        <v>6</v>
      </c>
      <c r="C7" s="57" t="s">
        <v>61</v>
      </c>
      <c r="D7" s="57" t="s">
        <v>58</v>
      </c>
      <c r="E7" s="57" t="s">
        <v>60</v>
      </c>
      <c r="F7" s="73">
        <v>42</v>
      </c>
      <c r="G7" s="74">
        <v>18</v>
      </c>
      <c r="H7" s="58">
        <f t="shared" si="5"/>
        <v>0.13854455999999998</v>
      </c>
      <c r="I7" s="3">
        <f t="shared" si="2"/>
        <v>0.55417823999999993</v>
      </c>
      <c r="J7" s="58">
        <f t="shared" ref="J7:J12" si="7">(0.0050811768+0.00002860529*(F7^2*G7))</f>
        <v>0.91335634488000006</v>
      </c>
      <c r="K7" s="3">
        <f t="shared" si="4"/>
        <v>3.6534253795200002</v>
      </c>
      <c r="L7" s="3">
        <f t="shared" si="1"/>
        <v>4</v>
      </c>
      <c r="M7" s="57"/>
      <c r="N7" s="57"/>
    </row>
    <row r="8" spans="1:14" x14ac:dyDescent="0.25">
      <c r="A8" s="57">
        <v>1</v>
      </c>
      <c r="B8" s="57">
        <v>7</v>
      </c>
      <c r="C8" s="57" t="s">
        <v>61</v>
      </c>
      <c r="D8" s="57" t="s">
        <v>58</v>
      </c>
      <c r="E8" s="57" t="s">
        <v>60</v>
      </c>
      <c r="F8" s="73">
        <v>40</v>
      </c>
      <c r="G8" s="74">
        <v>19</v>
      </c>
      <c r="H8" s="58">
        <f t="shared" si="5"/>
        <v>0.12566400000000003</v>
      </c>
      <c r="I8" s="3">
        <f t="shared" si="2"/>
        <v>0.5026560000000001</v>
      </c>
      <c r="J8" s="58">
        <f t="shared" si="7"/>
        <v>0.87468199280000003</v>
      </c>
      <c r="K8" s="3">
        <f t="shared" si="4"/>
        <v>3.4987279712000001</v>
      </c>
      <c r="L8" s="3">
        <f t="shared" si="1"/>
        <v>4</v>
      </c>
      <c r="M8" s="57"/>
      <c r="N8" s="57"/>
    </row>
    <row r="9" spans="1:14" x14ac:dyDescent="0.25">
      <c r="A9" s="57">
        <v>1</v>
      </c>
      <c r="B9" s="57">
        <v>8</v>
      </c>
      <c r="C9" s="57" t="s">
        <v>61</v>
      </c>
      <c r="D9" s="57" t="s">
        <v>58</v>
      </c>
      <c r="E9" s="57" t="s">
        <v>59</v>
      </c>
      <c r="F9" s="73">
        <v>39.5</v>
      </c>
      <c r="G9" s="74">
        <v>22</v>
      </c>
      <c r="H9" s="58">
        <f t="shared" si="5"/>
        <v>0.12254203500000002</v>
      </c>
      <c r="I9" s="3">
        <f t="shared" si="2"/>
        <v>0.49016814000000009</v>
      </c>
      <c r="J9" s="58">
        <f t="shared" si="7"/>
        <v>0.98697205869500004</v>
      </c>
      <c r="K9" s="3">
        <f t="shared" si="4"/>
        <v>3.9478882347800002</v>
      </c>
      <c r="L9" s="3">
        <f t="shared" si="1"/>
        <v>4</v>
      </c>
      <c r="M9" s="57"/>
      <c r="N9" s="57"/>
    </row>
    <row r="10" spans="1:14" x14ac:dyDescent="0.25">
      <c r="A10" s="57">
        <v>2</v>
      </c>
      <c r="B10" s="57">
        <v>1</v>
      </c>
      <c r="C10" s="57" t="s">
        <v>61</v>
      </c>
      <c r="D10" s="57" t="s">
        <v>58</v>
      </c>
      <c r="E10" s="57" t="s">
        <v>60</v>
      </c>
      <c r="F10" s="74">
        <v>41</v>
      </c>
      <c r="G10" s="74">
        <v>21</v>
      </c>
      <c r="H10" s="58">
        <f t="shared" si="5"/>
        <v>0.13202573999999997</v>
      </c>
      <c r="I10" s="3">
        <f t="shared" si="2"/>
        <v>0.5281029599999999</v>
      </c>
      <c r="J10" s="58">
        <f t="shared" si="7"/>
        <v>1.0148765190900002</v>
      </c>
      <c r="K10" s="3">
        <f t="shared" si="4"/>
        <v>4.0595060763600008</v>
      </c>
      <c r="L10" s="3">
        <f t="shared" si="1"/>
        <v>4</v>
      </c>
    </row>
    <row r="11" spans="1:14" x14ac:dyDescent="0.25">
      <c r="A11" s="57">
        <v>2</v>
      </c>
      <c r="B11" s="57">
        <v>2</v>
      </c>
      <c r="C11" s="57" t="s">
        <v>61</v>
      </c>
      <c r="D11" s="57" t="s">
        <v>58</v>
      </c>
      <c r="E11" s="57" t="s">
        <v>59</v>
      </c>
      <c r="F11" s="74">
        <v>31</v>
      </c>
      <c r="G11" s="74">
        <v>18</v>
      </c>
      <c r="H11" s="58">
        <f t="shared" si="5"/>
        <v>7.5476940000000006E-2</v>
      </c>
      <c r="I11" s="3">
        <f t="shared" si="2"/>
        <v>0.30190776000000002</v>
      </c>
      <c r="J11" s="58">
        <f t="shared" si="7"/>
        <v>0.49989548321999999</v>
      </c>
      <c r="K11" s="3">
        <f t="shared" si="4"/>
        <v>1.99958193288</v>
      </c>
      <c r="L11" s="3">
        <f t="shared" si="1"/>
        <v>4</v>
      </c>
    </row>
    <row r="12" spans="1:14" x14ac:dyDescent="0.25">
      <c r="A12" s="57">
        <v>2</v>
      </c>
      <c r="B12" s="57">
        <v>3</v>
      </c>
      <c r="C12" s="57" t="s">
        <v>61</v>
      </c>
      <c r="D12" s="57" t="s">
        <v>58</v>
      </c>
      <c r="E12" s="57" t="s">
        <v>59</v>
      </c>
      <c r="F12" s="74">
        <v>37</v>
      </c>
      <c r="G12" s="74">
        <v>17</v>
      </c>
      <c r="H12" s="58">
        <f t="shared" si="5"/>
        <v>0.10752125999999999</v>
      </c>
      <c r="I12" s="3">
        <f t="shared" si="2"/>
        <v>0.43008503999999997</v>
      </c>
      <c r="J12" s="58">
        <f t="shared" si="7"/>
        <v>0.67081209097000005</v>
      </c>
      <c r="K12" s="3">
        <f t="shared" si="4"/>
        <v>2.6832483638800002</v>
      </c>
      <c r="L12" s="3">
        <f t="shared" si="1"/>
        <v>4</v>
      </c>
    </row>
    <row r="13" spans="1:14" x14ac:dyDescent="0.25">
      <c r="A13" s="57">
        <v>2</v>
      </c>
      <c r="B13" s="57">
        <v>5</v>
      </c>
      <c r="C13" s="57" t="s">
        <v>57</v>
      </c>
      <c r="D13" s="78" t="s">
        <v>66</v>
      </c>
      <c r="E13" s="57" t="s">
        <v>52</v>
      </c>
      <c r="F13" s="74">
        <v>24</v>
      </c>
      <c r="G13" s="74">
        <v>14</v>
      </c>
      <c r="H13" s="58">
        <f t="shared" si="5"/>
        <v>4.5239040000000001E-2</v>
      </c>
      <c r="I13" s="3">
        <f t="shared" si="2"/>
        <v>0.18095616</v>
      </c>
      <c r="J13" s="58">
        <f t="shared" ref="J13" si="8">(0.108337266+0.000046499*(F13^2*G13))</f>
        <v>0.48330520199999999</v>
      </c>
      <c r="K13" s="3">
        <f t="shared" si="4"/>
        <v>1.933220808</v>
      </c>
      <c r="L13" s="3">
        <f t="shared" si="1"/>
        <v>4</v>
      </c>
    </row>
    <row r="14" spans="1:14" x14ac:dyDescent="0.25">
      <c r="A14" s="57">
        <v>2</v>
      </c>
      <c r="B14" s="57">
        <v>6</v>
      </c>
      <c r="C14" s="57" t="s">
        <v>61</v>
      </c>
      <c r="D14" s="57" t="s">
        <v>58</v>
      </c>
      <c r="E14" s="57" t="s">
        <v>60</v>
      </c>
      <c r="F14" s="74">
        <v>45</v>
      </c>
      <c r="G14" s="74">
        <v>19</v>
      </c>
      <c r="H14" s="58">
        <f t="shared" si="5"/>
        <v>0.1590435</v>
      </c>
      <c r="I14" s="3">
        <f t="shared" si="2"/>
        <v>0.63617400000000002</v>
      </c>
      <c r="J14" s="58">
        <f t="shared" ref="J14:J16" si="9">(0.0050811768+0.00002860529*(F14^2*G14))</f>
        <v>1.1056697095500001</v>
      </c>
      <c r="K14" s="3">
        <f t="shared" si="4"/>
        <v>4.4226788382000004</v>
      </c>
      <c r="L14" s="3">
        <f t="shared" si="1"/>
        <v>4</v>
      </c>
      <c r="M14" s="57"/>
      <c r="N14" s="57"/>
    </row>
    <row r="15" spans="1:14" x14ac:dyDescent="0.25">
      <c r="A15" s="57">
        <v>2</v>
      </c>
      <c r="B15" s="57">
        <v>7</v>
      </c>
      <c r="C15" s="57" t="s">
        <v>61</v>
      </c>
      <c r="D15" s="57" t="s">
        <v>58</v>
      </c>
      <c r="E15" s="57" t="s">
        <v>52</v>
      </c>
      <c r="F15" s="74">
        <v>25</v>
      </c>
      <c r="G15" s="74">
        <v>16</v>
      </c>
      <c r="H15" s="58">
        <f t="shared" si="5"/>
        <v>4.9087499999999999E-2</v>
      </c>
      <c r="I15" s="3">
        <f t="shared" si="2"/>
        <v>0.19635</v>
      </c>
      <c r="J15" s="58">
        <f t="shared" si="9"/>
        <v>0.29113407679999997</v>
      </c>
      <c r="K15" s="3">
        <f t="shared" si="4"/>
        <v>1.1645363071999999</v>
      </c>
      <c r="L15" s="3">
        <f t="shared" si="1"/>
        <v>4</v>
      </c>
      <c r="M15" s="57"/>
      <c r="N15" s="57"/>
    </row>
    <row r="16" spans="1:14" x14ac:dyDescent="0.25">
      <c r="A16" s="57">
        <v>2</v>
      </c>
      <c r="B16" s="57">
        <v>9</v>
      </c>
      <c r="C16" s="57" t="s">
        <v>61</v>
      </c>
      <c r="D16" s="57" t="s">
        <v>58</v>
      </c>
      <c r="E16" s="57" t="s">
        <v>64</v>
      </c>
      <c r="F16" s="74">
        <v>62.6</v>
      </c>
      <c r="G16" s="74">
        <v>22</v>
      </c>
      <c r="H16" s="58">
        <f t="shared" si="5"/>
        <v>0.30777941040000001</v>
      </c>
      <c r="I16" s="3">
        <f t="shared" si="2"/>
        <v>1.2311176416</v>
      </c>
      <c r="J16" s="58">
        <f t="shared" si="9"/>
        <v>2.4712210340888001</v>
      </c>
      <c r="K16" s="3">
        <f t="shared" si="4"/>
        <v>9.8848841363552005</v>
      </c>
      <c r="L16" s="3">
        <f t="shared" si="1"/>
        <v>4</v>
      </c>
      <c r="M16" s="57"/>
      <c r="N16" s="57"/>
    </row>
    <row r="17" spans="1:14" x14ac:dyDescent="0.25">
      <c r="A17" s="57">
        <v>3</v>
      </c>
      <c r="B17" s="57">
        <v>2</v>
      </c>
      <c r="C17" s="57" t="s">
        <v>57</v>
      </c>
      <c r="D17" s="78" t="s">
        <v>66</v>
      </c>
      <c r="E17" s="57" t="s">
        <v>51</v>
      </c>
      <c r="F17" s="73">
        <v>14</v>
      </c>
      <c r="G17" s="74">
        <v>12</v>
      </c>
      <c r="H17" s="58">
        <f t="shared" si="5"/>
        <v>1.5393840000000002E-2</v>
      </c>
      <c r="I17" s="3">
        <f t="shared" si="2"/>
        <v>6.157536000000001E-2</v>
      </c>
      <c r="J17" s="58">
        <f t="shared" ref="J17" si="10">(0.108337266+0.000046499*(F17^2*G17))</f>
        <v>0.21770291400000003</v>
      </c>
      <c r="K17" s="3">
        <f t="shared" si="4"/>
        <v>0.8708116560000001</v>
      </c>
      <c r="L17" s="3">
        <f t="shared" si="1"/>
        <v>4</v>
      </c>
      <c r="M17" s="57"/>
      <c r="N17" s="57"/>
    </row>
    <row r="18" spans="1:14" x14ac:dyDescent="0.25">
      <c r="A18" s="57">
        <v>3</v>
      </c>
      <c r="B18" s="57">
        <v>3</v>
      </c>
      <c r="C18" s="57" t="s">
        <v>53</v>
      </c>
      <c r="D18" s="57" t="s">
        <v>54</v>
      </c>
      <c r="E18" s="1" t="s">
        <v>52</v>
      </c>
      <c r="F18" s="73">
        <v>20</v>
      </c>
      <c r="G18" s="74">
        <v>15</v>
      </c>
      <c r="H18" s="58">
        <f t="shared" ref="H18:H35" si="11">0.7854*(F18/100)^2</f>
        <v>3.1416000000000006E-2</v>
      </c>
      <c r="I18" s="3">
        <f t="shared" ref="I18:I35" si="12">H18*1/$N$3</f>
        <v>0.12566400000000003</v>
      </c>
      <c r="J18" s="58">
        <f>(0.108337266+0.000046499*(F18^2*G18))</f>
        <v>0.38733126600000001</v>
      </c>
      <c r="K18" s="3">
        <f t="shared" ref="K18:K35" si="13">J18/$N$3</f>
        <v>1.549325064</v>
      </c>
      <c r="L18" s="3">
        <f t="shared" si="1"/>
        <v>4</v>
      </c>
    </row>
    <row r="19" spans="1:14" x14ac:dyDescent="0.25">
      <c r="A19" s="57">
        <v>3</v>
      </c>
      <c r="B19" s="57">
        <v>4</v>
      </c>
      <c r="C19" s="57" t="s">
        <v>53</v>
      </c>
      <c r="D19" s="57" t="s">
        <v>54</v>
      </c>
      <c r="E19" s="1" t="s">
        <v>51</v>
      </c>
      <c r="F19" s="73">
        <v>12</v>
      </c>
      <c r="G19" s="74">
        <v>13</v>
      </c>
      <c r="H19" s="58">
        <f t="shared" si="11"/>
        <v>1.130976E-2</v>
      </c>
      <c r="I19" s="3">
        <f t="shared" si="12"/>
        <v>4.5239040000000001E-2</v>
      </c>
      <c r="J19" s="58">
        <f>(0.108337266+0.000046499*(F19^2*G19))</f>
        <v>0.19538339399999999</v>
      </c>
      <c r="K19" s="3">
        <f t="shared" si="13"/>
        <v>0.78153357599999995</v>
      </c>
      <c r="L19" s="3">
        <f t="shared" si="1"/>
        <v>4</v>
      </c>
    </row>
    <row r="20" spans="1:14" x14ac:dyDescent="0.25">
      <c r="A20" s="57">
        <v>3</v>
      </c>
      <c r="B20" s="57">
        <v>5</v>
      </c>
      <c r="C20" s="57" t="s">
        <v>57</v>
      </c>
      <c r="D20" s="78" t="s">
        <v>66</v>
      </c>
      <c r="E20" s="1" t="s">
        <v>51</v>
      </c>
      <c r="F20" s="73">
        <v>11</v>
      </c>
      <c r="G20" s="74">
        <v>8</v>
      </c>
      <c r="H20" s="58">
        <f t="shared" si="11"/>
        <v>9.503339999999999E-3</v>
      </c>
      <c r="I20" s="3">
        <f t="shared" si="12"/>
        <v>3.8013359999999996E-2</v>
      </c>
      <c r="J20" s="58">
        <f t="shared" ref="J20:J21" si="14">(0.108337266+0.000046499*(F20^2*G20))</f>
        <v>0.15334829799999999</v>
      </c>
      <c r="K20" s="3">
        <f t="shared" si="13"/>
        <v>0.61339319199999998</v>
      </c>
      <c r="L20" s="3">
        <f t="shared" si="1"/>
        <v>4</v>
      </c>
    </row>
    <row r="21" spans="1:14" x14ac:dyDescent="0.25">
      <c r="A21" s="57">
        <v>3</v>
      </c>
      <c r="B21" s="57">
        <v>6</v>
      </c>
      <c r="C21" s="57" t="s">
        <v>57</v>
      </c>
      <c r="D21" s="78" t="s">
        <v>66</v>
      </c>
      <c r="E21" s="1" t="s">
        <v>51</v>
      </c>
      <c r="F21" s="73">
        <v>14</v>
      </c>
      <c r="G21" s="74">
        <v>12</v>
      </c>
      <c r="H21" s="58">
        <f t="shared" si="11"/>
        <v>1.5393840000000002E-2</v>
      </c>
      <c r="I21" s="3">
        <f t="shared" si="12"/>
        <v>6.157536000000001E-2</v>
      </c>
      <c r="J21" s="58">
        <f t="shared" si="14"/>
        <v>0.21770291400000003</v>
      </c>
      <c r="K21" s="3">
        <f t="shared" si="13"/>
        <v>0.8708116560000001</v>
      </c>
      <c r="L21" s="3">
        <f t="shared" si="1"/>
        <v>4</v>
      </c>
    </row>
    <row r="22" spans="1:14" x14ac:dyDescent="0.25">
      <c r="A22" s="57">
        <v>3</v>
      </c>
      <c r="B22" s="57">
        <v>7</v>
      </c>
      <c r="C22" s="57" t="s">
        <v>61</v>
      </c>
      <c r="D22" s="57" t="s">
        <v>58</v>
      </c>
      <c r="E22" s="1" t="s">
        <v>52</v>
      </c>
      <c r="F22" s="73">
        <v>20</v>
      </c>
      <c r="G22" s="74">
        <v>13</v>
      </c>
      <c r="H22" s="58">
        <f t="shared" si="11"/>
        <v>3.1416000000000006E-2</v>
      </c>
      <c r="I22" s="3">
        <f t="shared" si="12"/>
        <v>0.12566400000000003</v>
      </c>
      <c r="J22" s="58">
        <f t="shared" ref="J22:J34" si="15">(0.0050811768+0.00002860529*(F22^2*G22))</f>
        <v>0.1538286848</v>
      </c>
      <c r="K22" s="3">
        <f t="shared" si="13"/>
        <v>0.61531473920000002</v>
      </c>
      <c r="L22" s="3">
        <f t="shared" si="1"/>
        <v>4</v>
      </c>
    </row>
    <row r="23" spans="1:14" x14ac:dyDescent="0.25">
      <c r="A23" s="57">
        <v>3</v>
      </c>
      <c r="B23" s="57">
        <v>8</v>
      </c>
      <c r="C23" s="57" t="s">
        <v>61</v>
      </c>
      <c r="D23" s="57" t="s">
        <v>58</v>
      </c>
      <c r="E23" s="1" t="s">
        <v>60</v>
      </c>
      <c r="F23" s="73">
        <v>44</v>
      </c>
      <c r="G23" s="74">
        <v>18</v>
      </c>
      <c r="H23" s="58">
        <f t="shared" si="11"/>
        <v>0.15205343999999998</v>
      </c>
      <c r="I23" s="3">
        <f t="shared" si="12"/>
        <v>0.60821375999999994</v>
      </c>
      <c r="J23" s="58">
        <f t="shared" si="15"/>
        <v>1.0019183227200001</v>
      </c>
      <c r="K23" s="3">
        <f t="shared" si="13"/>
        <v>4.0076732908800006</v>
      </c>
      <c r="L23" s="3">
        <f t="shared" si="1"/>
        <v>4</v>
      </c>
    </row>
    <row r="24" spans="1:14" x14ac:dyDescent="0.25">
      <c r="A24" s="57">
        <v>3</v>
      </c>
      <c r="B24" s="57">
        <v>9</v>
      </c>
      <c r="C24" s="57" t="s">
        <v>61</v>
      </c>
      <c r="D24" s="57" t="s">
        <v>58</v>
      </c>
      <c r="E24" s="1" t="s">
        <v>64</v>
      </c>
      <c r="F24" s="73">
        <v>60</v>
      </c>
      <c r="G24" s="74">
        <v>20</v>
      </c>
      <c r="H24" s="58">
        <f t="shared" si="11"/>
        <v>0.282744</v>
      </c>
      <c r="I24" s="3">
        <f t="shared" si="12"/>
        <v>1.130976</v>
      </c>
      <c r="J24" s="58">
        <f t="shared" si="15"/>
        <v>2.0646620568</v>
      </c>
      <c r="K24" s="3">
        <f t="shared" si="13"/>
        <v>8.2586482272000001</v>
      </c>
      <c r="L24" s="3">
        <f t="shared" si="1"/>
        <v>4</v>
      </c>
    </row>
    <row r="25" spans="1:14" x14ac:dyDescent="0.25">
      <c r="A25" s="57">
        <v>3</v>
      </c>
      <c r="B25" s="57">
        <v>10</v>
      </c>
      <c r="C25" s="57" t="s">
        <v>61</v>
      </c>
      <c r="D25" s="57" t="s">
        <v>58</v>
      </c>
      <c r="E25" s="1" t="s">
        <v>65</v>
      </c>
      <c r="F25" s="73">
        <v>75</v>
      </c>
      <c r="G25" s="74">
        <v>14</v>
      </c>
      <c r="H25" s="58">
        <f t="shared" si="11"/>
        <v>0.4417875</v>
      </c>
      <c r="I25" s="3">
        <f t="shared" si="12"/>
        <v>1.76715</v>
      </c>
      <c r="J25" s="58">
        <f t="shared" si="15"/>
        <v>2.2577477643000003</v>
      </c>
      <c r="K25" s="3">
        <f t="shared" si="13"/>
        <v>9.0309910572000014</v>
      </c>
      <c r="L25" s="3">
        <f t="shared" si="1"/>
        <v>4</v>
      </c>
    </row>
    <row r="26" spans="1:14" x14ac:dyDescent="0.25">
      <c r="A26" s="72">
        <v>4</v>
      </c>
      <c r="B26" s="72">
        <v>1</v>
      </c>
      <c r="C26" s="57" t="s">
        <v>61</v>
      </c>
      <c r="D26" s="57" t="s">
        <v>58</v>
      </c>
      <c r="E26" s="1" t="s">
        <v>60</v>
      </c>
      <c r="F26" s="73">
        <v>44</v>
      </c>
      <c r="G26" s="74">
        <v>19</v>
      </c>
      <c r="H26" s="58">
        <f t="shared" si="11"/>
        <v>0.15205343999999998</v>
      </c>
      <c r="I26" s="3">
        <f t="shared" si="12"/>
        <v>0.60821375999999994</v>
      </c>
      <c r="J26" s="58">
        <f t="shared" si="15"/>
        <v>1.0572981641600001</v>
      </c>
      <c r="K26" s="3">
        <f t="shared" si="13"/>
        <v>4.2291926566400004</v>
      </c>
      <c r="L26" s="3">
        <f t="shared" si="1"/>
        <v>4</v>
      </c>
    </row>
    <row r="27" spans="1:14" x14ac:dyDescent="0.25">
      <c r="A27" s="72">
        <v>4</v>
      </c>
      <c r="B27" s="72">
        <v>2</v>
      </c>
      <c r="C27" s="57" t="s">
        <v>61</v>
      </c>
      <c r="D27" s="57" t="s">
        <v>58</v>
      </c>
      <c r="E27" s="1" t="s">
        <v>59</v>
      </c>
      <c r="F27" s="73">
        <v>35</v>
      </c>
      <c r="G27" s="74">
        <v>17</v>
      </c>
      <c r="H27" s="58">
        <f t="shared" si="11"/>
        <v>9.6211499999999991E-2</v>
      </c>
      <c r="I27" s="3">
        <f t="shared" si="12"/>
        <v>0.38484599999999997</v>
      </c>
      <c r="J27" s="58">
        <f t="shared" si="15"/>
        <v>0.60078634104999995</v>
      </c>
      <c r="K27" s="3">
        <f t="shared" si="13"/>
        <v>2.4031453641999998</v>
      </c>
      <c r="L27" s="3">
        <f t="shared" si="1"/>
        <v>4</v>
      </c>
    </row>
    <row r="28" spans="1:14" x14ac:dyDescent="0.25">
      <c r="A28" s="72">
        <v>4</v>
      </c>
      <c r="B28" s="72">
        <v>3</v>
      </c>
      <c r="C28" s="57" t="s">
        <v>61</v>
      </c>
      <c r="D28" s="57" t="s">
        <v>58</v>
      </c>
      <c r="E28" s="1" t="s">
        <v>59</v>
      </c>
      <c r="F28" s="73">
        <v>36</v>
      </c>
      <c r="G28" s="74">
        <v>16</v>
      </c>
      <c r="H28" s="58">
        <f t="shared" si="11"/>
        <v>0.10178783999999999</v>
      </c>
      <c r="I28" s="3">
        <f t="shared" si="12"/>
        <v>0.40715135999999996</v>
      </c>
      <c r="J28" s="58">
        <f t="shared" si="15"/>
        <v>0.59824047024000004</v>
      </c>
      <c r="K28" s="3">
        <f t="shared" si="13"/>
        <v>2.3929618809600002</v>
      </c>
      <c r="L28" s="3">
        <f t="shared" si="1"/>
        <v>4</v>
      </c>
    </row>
    <row r="29" spans="1:14" x14ac:dyDescent="0.25">
      <c r="A29" s="72">
        <v>4</v>
      </c>
      <c r="B29" s="72">
        <v>4</v>
      </c>
      <c r="C29" s="57" t="s">
        <v>61</v>
      </c>
      <c r="D29" s="57" t="s">
        <v>58</v>
      </c>
      <c r="E29" s="1" t="s">
        <v>59</v>
      </c>
      <c r="F29" s="73">
        <v>37</v>
      </c>
      <c r="G29" s="74">
        <v>15</v>
      </c>
      <c r="H29" s="58">
        <f t="shared" si="11"/>
        <v>0.10752125999999999</v>
      </c>
      <c r="I29" s="3">
        <f t="shared" si="12"/>
        <v>0.43008503999999997</v>
      </c>
      <c r="J29" s="58">
        <f t="shared" si="15"/>
        <v>0.59249080695</v>
      </c>
      <c r="K29" s="3">
        <f t="shared" si="13"/>
        <v>2.3699632278</v>
      </c>
      <c r="L29" s="3">
        <f t="shared" si="1"/>
        <v>4</v>
      </c>
    </row>
    <row r="30" spans="1:14" x14ac:dyDescent="0.25">
      <c r="A30" s="72">
        <v>4</v>
      </c>
      <c r="B30" s="72">
        <v>5</v>
      </c>
      <c r="C30" s="57" t="s">
        <v>61</v>
      </c>
      <c r="D30" s="57" t="s">
        <v>58</v>
      </c>
      <c r="E30" s="1" t="s">
        <v>51</v>
      </c>
      <c r="F30" s="73">
        <v>17</v>
      </c>
      <c r="G30" s="74">
        <v>16</v>
      </c>
      <c r="H30" s="58">
        <f t="shared" si="11"/>
        <v>2.2698060000000003E-2</v>
      </c>
      <c r="I30" s="3">
        <f t="shared" si="12"/>
        <v>9.079224000000001E-2</v>
      </c>
      <c r="J30" s="58">
        <f t="shared" si="15"/>
        <v>0.13735203776000002</v>
      </c>
      <c r="K30" s="3">
        <f t="shared" si="13"/>
        <v>0.54940815104000007</v>
      </c>
      <c r="L30" s="3">
        <f t="shared" si="1"/>
        <v>4</v>
      </c>
    </row>
    <row r="31" spans="1:14" x14ac:dyDescent="0.25">
      <c r="A31" s="72">
        <v>4</v>
      </c>
      <c r="B31" s="72">
        <v>6</v>
      </c>
      <c r="C31" s="57" t="s">
        <v>61</v>
      </c>
      <c r="D31" s="57" t="s">
        <v>58</v>
      </c>
      <c r="E31" s="1" t="s">
        <v>59</v>
      </c>
      <c r="F31" s="73">
        <v>37</v>
      </c>
      <c r="G31" s="74">
        <v>11</v>
      </c>
      <c r="H31" s="58">
        <f t="shared" si="11"/>
        <v>0.10752125999999999</v>
      </c>
      <c r="I31" s="3">
        <f t="shared" si="12"/>
        <v>0.43008503999999997</v>
      </c>
      <c r="J31" s="58">
        <f t="shared" si="15"/>
        <v>0.43584823891000002</v>
      </c>
      <c r="K31" s="3">
        <f t="shared" si="13"/>
        <v>1.7433929556400001</v>
      </c>
      <c r="L31" s="3">
        <f t="shared" si="1"/>
        <v>4</v>
      </c>
    </row>
    <row r="32" spans="1:14" x14ac:dyDescent="0.25">
      <c r="A32" s="72">
        <v>4</v>
      </c>
      <c r="B32" s="72">
        <v>7</v>
      </c>
      <c r="C32" s="57" t="s">
        <v>61</v>
      </c>
      <c r="D32" s="57" t="s">
        <v>58</v>
      </c>
      <c r="E32" s="1" t="s">
        <v>51</v>
      </c>
      <c r="F32" s="73">
        <v>18</v>
      </c>
      <c r="G32" s="74">
        <v>12</v>
      </c>
      <c r="H32" s="58">
        <f t="shared" si="11"/>
        <v>2.5446959999999998E-2</v>
      </c>
      <c r="I32" s="3">
        <f t="shared" si="12"/>
        <v>0.10178783999999999</v>
      </c>
      <c r="J32" s="58">
        <f t="shared" si="15"/>
        <v>0.11629854432</v>
      </c>
      <c r="K32" s="3">
        <f t="shared" si="13"/>
        <v>0.46519417728000001</v>
      </c>
      <c r="L32" s="3">
        <f t="shared" si="1"/>
        <v>4</v>
      </c>
    </row>
    <row r="33" spans="1:12" x14ac:dyDescent="0.25">
      <c r="A33" s="72">
        <v>4</v>
      </c>
      <c r="B33" s="72">
        <v>8</v>
      </c>
      <c r="C33" s="57" t="s">
        <v>61</v>
      </c>
      <c r="D33" s="57" t="s">
        <v>58</v>
      </c>
      <c r="E33" s="1" t="s">
        <v>52</v>
      </c>
      <c r="F33" s="73">
        <v>23</v>
      </c>
      <c r="G33" s="74">
        <v>17</v>
      </c>
      <c r="H33" s="58">
        <f t="shared" si="11"/>
        <v>4.154766E-2</v>
      </c>
      <c r="I33" s="3">
        <f t="shared" si="12"/>
        <v>0.16619064</v>
      </c>
      <c r="J33" s="58">
        <f t="shared" si="15"/>
        <v>0.26232854976999997</v>
      </c>
      <c r="K33" s="3">
        <f t="shared" si="13"/>
        <v>1.0493141990799999</v>
      </c>
      <c r="L33" s="3">
        <f t="shared" si="1"/>
        <v>4</v>
      </c>
    </row>
    <row r="34" spans="1:12" x14ac:dyDescent="0.25">
      <c r="A34" s="72">
        <v>4</v>
      </c>
      <c r="B34" s="72">
        <v>9</v>
      </c>
      <c r="C34" s="57" t="s">
        <v>61</v>
      </c>
      <c r="D34" s="57" t="s">
        <v>58</v>
      </c>
      <c r="E34" s="1" t="s">
        <v>60</v>
      </c>
      <c r="F34" s="73">
        <v>47</v>
      </c>
      <c r="G34" s="74">
        <v>21</v>
      </c>
      <c r="H34" s="58">
        <f t="shared" si="11"/>
        <v>0.17349485999999997</v>
      </c>
      <c r="I34" s="3">
        <f t="shared" si="12"/>
        <v>0.69397943999999989</v>
      </c>
      <c r="J34" s="58">
        <f t="shared" si="15"/>
        <v>1.3320519746100001</v>
      </c>
      <c r="K34" s="3">
        <f t="shared" si="13"/>
        <v>5.3282078984400005</v>
      </c>
      <c r="L34" s="3">
        <f t="shared" si="1"/>
        <v>4</v>
      </c>
    </row>
    <row r="35" spans="1:12" x14ac:dyDescent="0.25">
      <c r="A35" s="72">
        <v>4</v>
      </c>
      <c r="B35" s="72">
        <v>10</v>
      </c>
      <c r="C35" s="57" t="s">
        <v>53</v>
      </c>
      <c r="D35" s="57" t="s">
        <v>54</v>
      </c>
      <c r="E35" s="1" t="s">
        <v>51</v>
      </c>
      <c r="F35" s="73">
        <v>19</v>
      </c>
      <c r="G35" s="74">
        <v>12</v>
      </c>
      <c r="H35" s="58">
        <f t="shared" si="11"/>
        <v>2.835294E-2</v>
      </c>
      <c r="I35" s="3">
        <f t="shared" si="12"/>
        <v>0.11341176</v>
      </c>
      <c r="J35" s="58">
        <f>(0.108337266+0.000046499*(F35^2*G35))</f>
        <v>0.309770934</v>
      </c>
      <c r="K35" s="3">
        <f t="shared" si="13"/>
        <v>1.239083736</v>
      </c>
      <c r="L35" s="3">
        <f t="shared" si="1"/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workbookViewId="0">
      <selection activeCell="C16" sqref="C16:D18"/>
    </sheetView>
  </sheetViews>
  <sheetFormatPr baseColWidth="10" defaultColWidth="11.42578125" defaultRowHeight="15" x14ac:dyDescent="0.25"/>
  <cols>
    <col min="1" max="1" width="20.28515625" customWidth="1"/>
    <col min="2" max="2" width="19" bestFit="1" customWidth="1"/>
    <col min="3" max="3" width="13.85546875" customWidth="1"/>
    <col min="4" max="4" width="18.42578125" bestFit="1" customWidth="1"/>
    <col min="5" max="5" width="10.7109375" bestFit="1" customWidth="1"/>
    <col min="6" max="6" width="11.5703125" bestFit="1" customWidth="1"/>
    <col min="7" max="7" width="14" customWidth="1"/>
  </cols>
  <sheetData>
    <row r="3" spans="1:11" x14ac:dyDescent="0.25">
      <c r="A3" s="4" t="s">
        <v>67</v>
      </c>
      <c r="B3" t="s">
        <v>13</v>
      </c>
    </row>
    <row r="4" spans="1:11" x14ac:dyDescent="0.25">
      <c r="A4" s="5" t="s">
        <v>54</v>
      </c>
      <c r="B4" s="7">
        <v>3</v>
      </c>
    </row>
    <row r="5" spans="1:11" x14ac:dyDescent="0.25">
      <c r="A5" s="6" t="s">
        <v>53</v>
      </c>
      <c r="B5" s="7">
        <v>3</v>
      </c>
    </row>
    <row r="6" spans="1:11" x14ac:dyDescent="0.25">
      <c r="A6" s="5" t="s">
        <v>58</v>
      </c>
      <c r="B6" s="7">
        <v>26</v>
      </c>
    </row>
    <row r="7" spans="1:11" x14ac:dyDescent="0.25">
      <c r="A7" s="6" t="s">
        <v>61</v>
      </c>
      <c r="B7" s="7">
        <v>26</v>
      </c>
    </row>
    <row r="8" spans="1:11" x14ac:dyDescent="0.25">
      <c r="A8" s="5" t="s">
        <v>62</v>
      </c>
      <c r="B8" s="7">
        <v>5</v>
      </c>
    </row>
    <row r="9" spans="1:11" x14ac:dyDescent="0.25">
      <c r="A9" s="6" t="s">
        <v>57</v>
      </c>
      <c r="B9" s="7">
        <v>5</v>
      </c>
    </row>
    <row r="10" spans="1:11" x14ac:dyDescent="0.25">
      <c r="A10" s="5" t="s">
        <v>12</v>
      </c>
      <c r="B10" s="7">
        <v>34</v>
      </c>
      <c r="K10">
        <f>0.15*100/1.34</f>
        <v>11.194029850746269</v>
      </c>
    </row>
    <row r="15" spans="1:11" ht="45" x14ac:dyDescent="0.25">
      <c r="B15" s="19" t="s">
        <v>20</v>
      </c>
      <c r="C15" s="20" t="s">
        <v>21</v>
      </c>
      <c r="D15" s="20" t="s">
        <v>22</v>
      </c>
      <c r="E15" s="20" t="s">
        <v>23</v>
      </c>
      <c r="F15" s="21" t="s">
        <v>24</v>
      </c>
    </row>
    <row r="16" spans="1:11" s="1" customFormat="1" x14ac:dyDescent="0.25">
      <c r="B16" s="62">
        <v>1</v>
      </c>
      <c r="C16" s="64" t="str">
        <f>A5</f>
        <v>Aliso</v>
      </c>
      <c r="D16" s="64" t="str">
        <f>A4</f>
        <v>Alnus sp.</v>
      </c>
      <c r="E16" s="63">
        <f>GETPIVOTDATA("No. Arbol",$A$3,"Especie","Alnus sp.")</f>
        <v>3</v>
      </c>
      <c r="F16" s="67">
        <f>E16/E19*100</f>
        <v>8.8235294117647065</v>
      </c>
    </row>
    <row r="17" spans="2:6" s="1" customFormat="1" x14ac:dyDescent="0.25">
      <c r="B17" s="62">
        <v>2</v>
      </c>
      <c r="C17" s="64" t="str">
        <f>A7</f>
        <v xml:space="preserve">Pino triste </v>
      </c>
      <c r="D17" s="64" t="str">
        <f>A6</f>
        <v>Pinus psudostrobus</v>
      </c>
      <c r="E17" s="63">
        <f>GETPIVOTDATA("No. Arbol",$A$3,"Especie","Pinus psudostrobus")</f>
        <v>26</v>
      </c>
      <c r="F17" s="67">
        <f>E17/E19*100</f>
        <v>76.470588235294116</v>
      </c>
    </row>
    <row r="18" spans="2:6" x14ac:dyDescent="0.25">
      <c r="B18" s="9">
        <v>3</v>
      </c>
      <c r="C18" s="9" t="str">
        <f>A9</f>
        <v>Chulube</v>
      </c>
      <c r="D18" s="10" t="str">
        <f>A8</f>
        <v>N.D</v>
      </c>
      <c r="E18" s="65">
        <f>GETPIVOTDATA("No. Arbol",$A$3,"Especie","N.D")</f>
        <v>5</v>
      </c>
      <c r="F18" s="66">
        <f>E18/E19*100</f>
        <v>14.705882352941178</v>
      </c>
    </row>
    <row r="19" spans="2:6" ht="12" customHeight="1" x14ac:dyDescent="0.25">
      <c r="B19" s="84" t="s">
        <v>25</v>
      </c>
      <c r="C19" s="84"/>
      <c r="D19" s="84"/>
      <c r="E19" s="53">
        <f>SUM(E16:E18)</f>
        <v>34</v>
      </c>
      <c r="F19" s="22">
        <f>SUM(F16:F18)</f>
        <v>100</v>
      </c>
    </row>
  </sheetData>
  <mergeCells count="1">
    <mergeCell ref="B19:D19"/>
  </mergeCell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topLeftCell="B3" workbookViewId="0">
      <selection activeCell="B5" sqref="B5"/>
    </sheetView>
  </sheetViews>
  <sheetFormatPr baseColWidth="10" defaultColWidth="11.42578125" defaultRowHeight="15" x14ac:dyDescent="0.25"/>
  <cols>
    <col min="1" max="1" width="18.42578125" customWidth="1"/>
    <col min="2" max="3" width="21.28515625" customWidth="1"/>
    <col min="4" max="4" width="22.140625" customWidth="1"/>
    <col min="5" max="5" width="15.140625" customWidth="1"/>
    <col min="6" max="6" width="21" customWidth="1"/>
    <col min="7" max="7" width="10.42578125" customWidth="1"/>
    <col min="8" max="8" width="10.28515625" customWidth="1"/>
    <col min="9" max="9" width="7.85546875" customWidth="1"/>
    <col min="10" max="10" width="8.85546875" customWidth="1"/>
  </cols>
  <sheetData>
    <row r="3" spans="1:12" x14ac:dyDescent="0.25">
      <c r="B3" s="4" t="s">
        <v>15</v>
      </c>
    </row>
    <row r="4" spans="1:12" x14ac:dyDescent="0.25">
      <c r="A4" s="4" t="s">
        <v>67</v>
      </c>
      <c r="B4" s="1" t="s">
        <v>14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12" x14ac:dyDescent="0.25">
      <c r="A5" s="5" t="s">
        <v>54</v>
      </c>
      <c r="B5" s="8">
        <v>12</v>
      </c>
      <c r="C5" s="2">
        <v>17</v>
      </c>
      <c r="D5" s="2">
        <v>13.333333333333334</v>
      </c>
      <c r="E5" s="2">
        <v>0.28431480000000003</v>
      </c>
      <c r="F5" s="2">
        <v>3.5699423759999998</v>
      </c>
    </row>
    <row r="6" spans="1:12" x14ac:dyDescent="0.25">
      <c r="A6" s="5" t="s">
        <v>58</v>
      </c>
      <c r="B6" s="8">
        <v>104</v>
      </c>
      <c r="C6" s="2">
        <v>38.015384615384619</v>
      </c>
      <c r="D6" s="2">
        <v>17.423076923076923</v>
      </c>
      <c r="E6" s="2">
        <v>13.398452760000001</v>
      </c>
      <c r="F6" s="2">
        <v>89.018341761669603</v>
      </c>
    </row>
    <row r="7" spans="1:12" x14ac:dyDescent="0.25">
      <c r="A7" s="5" t="s">
        <v>62</v>
      </c>
      <c r="B7" s="8">
        <v>20</v>
      </c>
      <c r="C7" s="2">
        <v>15.4</v>
      </c>
      <c r="D7" s="2">
        <v>10.8</v>
      </c>
      <c r="E7" s="2">
        <v>0.40369560000000004</v>
      </c>
      <c r="F7" s="2">
        <v>5.0132281040000004</v>
      </c>
      <c r="L7">
        <f>2013-1977</f>
        <v>36</v>
      </c>
    </row>
    <row r="8" spans="1:12" x14ac:dyDescent="0.25">
      <c r="A8" s="5" t="s">
        <v>12</v>
      </c>
      <c r="B8" s="8">
        <v>136</v>
      </c>
      <c r="C8" s="2">
        <v>32.835294117647059</v>
      </c>
      <c r="D8" s="2">
        <v>16.088235294117649</v>
      </c>
      <c r="E8" s="2">
        <v>14.086463160000005</v>
      </c>
      <c r="F8" s="2">
        <v>97.60151224166961</v>
      </c>
    </row>
    <row r="12" spans="1:12" x14ac:dyDescent="0.25">
      <c r="B12" s="89" t="s">
        <v>26</v>
      </c>
      <c r="C12" s="89" t="s">
        <v>27</v>
      </c>
      <c r="D12" s="86" t="s">
        <v>3</v>
      </c>
      <c r="E12" s="85" t="s">
        <v>14</v>
      </c>
      <c r="F12" s="85" t="s">
        <v>16</v>
      </c>
      <c r="G12" s="85" t="s">
        <v>17</v>
      </c>
      <c r="H12" s="85" t="s">
        <v>18</v>
      </c>
      <c r="I12" s="86" t="s">
        <v>28</v>
      </c>
      <c r="J12" s="86"/>
    </row>
    <row r="13" spans="1:12" x14ac:dyDescent="0.25">
      <c r="B13" s="89"/>
      <c r="C13" s="89"/>
      <c r="D13" s="86"/>
      <c r="E13" s="85"/>
      <c r="F13" s="85"/>
      <c r="G13" s="85"/>
      <c r="H13" s="85"/>
      <c r="I13" s="18" t="s">
        <v>29</v>
      </c>
      <c r="J13" s="18" t="s">
        <v>26</v>
      </c>
    </row>
    <row r="14" spans="1:12" x14ac:dyDescent="0.25">
      <c r="B14" s="87">
        <v>1</v>
      </c>
      <c r="C14" s="88">
        <v>3.44</v>
      </c>
      <c r="D14" s="11" t="str">
        <f>A5</f>
        <v>Alnus sp.</v>
      </c>
      <c r="E14" s="15">
        <f>GETPIVOTDATA("Suma de Densidad/Ha.",$A$3,"Especie","Alnus sp.")</f>
        <v>12</v>
      </c>
      <c r="F14" s="12">
        <f>GETPIVOTDATA("Promedio de DAP (cm)",$A$3,"Especie","Alnus sp.")</f>
        <v>17</v>
      </c>
      <c r="G14" s="12">
        <f>GETPIVOTDATA("Promedio de Altura (m)",$A$3,"Especie","Alnus sp.")</f>
        <v>13.333333333333334</v>
      </c>
      <c r="H14" s="12">
        <f>GETPIVOTDATA("Suma de AB/Ha.",$A$3,"Especie","Alnus sp.")</f>
        <v>0.28431480000000003</v>
      </c>
      <c r="I14" s="12">
        <f>GETPIVOTDATA("Suma de Volumen/Ha.",$A$3,"Especie","Alnus sp.")</f>
        <v>3.5699423759999998</v>
      </c>
      <c r="J14" s="13">
        <f>I14*C14</f>
        <v>12.280601773439999</v>
      </c>
    </row>
    <row r="15" spans="1:12" s="1" customFormat="1" x14ac:dyDescent="0.25">
      <c r="B15" s="87"/>
      <c r="C15" s="88"/>
      <c r="D15" s="11" t="str">
        <f>A6</f>
        <v>Pinus psudostrobus</v>
      </c>
      <c r="E15" s="15">
        <f>GETPIVOTDATA("Suma de Densidad/Ha.",$A$3,"Especie","Pinus psudostrobus")</f>
        <v>104</v>
      </c>
      <c r="F15" s="12">
        <f>GETPIVOTDATA("Promedio de DAP (cm)",$A$3,"Especie","Pinus psudostrobus")</f>
        <v>38.015384615384619</v>
      </c>
      <c r="G15" s="12">
        <f>GETPIVOTDATA("Promedio de Altura (m)",$A$3,"Especie","Pinus psudostrobus")</f>
        <v>17.423076923076923</v>
      </c>
      <c r="H15" s="12">
        <f>GETPIVOTDATA("Suma de AB/Ha.",$A$3,"Especie","Pinus psudostrobus")</f>
        <v>13.398452760000001</v>
      </c>
      <c r="I15" s="12">
        <f>GETPIVOTDATA("Suma de Volumen/Ha.",$A$3,"Especie","Pinus psudostrobus")</f>
        <v>89.018341761669603</v>
      </c>
      <c r="J15" s="54">
        <f>I15*C14</f>
        <v>306.22309566014343</v>
      </c>
    </row>
    <row r="16" spans="1:12" s="1" customFormat="1" x14ac:dyDescent="0.25">
      <c r="B16" s="87"/>
      <c r="C16" s="88"/>
      <c r="D16" s="11" t="str">
        <f>A7</f>
        <v>N.D</v>
      </c>
      <c r="E16" s="15">
        <f>GETPIVOTDATA("Suma de Densidad/Ha.",$A$3,"Especie","N.D")</f>
        <v>20</v>
      </c>
      <c r="F16" s="12">
        <f>GETPIVOTDATA("Promedio de DAP (cm)",$A$3,"Especie","N.D")</f>
        <v>15.4</v>
      </c>
      <c r="G16" s="12">
        <f>GETPIVOTDATA("Promedio de Altura (m)",$A$3,"Especie","N.D")</f>
        <v>10.8</v>
      </c>
      <c r="H16" s="12">
        <f>GETPIVOTDATA("Suma de AB/Ha.",$A$3,"Especie","N.D")</f>
        <v>0.40369560000000004</v>
      </c>
      <c r="I16" s="12">
        <f>GETPIVOTDATA("Suma de Volumen/Ha.",$A$3,"Especie","N.D")</f>
        <v>5.0132281040000004</v>
      </c>
      <c r="J16" s="54">
        <f>I16*C14</f>
        <v>17.24550467776</v>
      </c>
    </row>
    <row r="17" spans="2:10" x14ac:dyDescent="0.25">
      <c r="B17" s="87"/>
      <c r="C17" s="88"/>
      <c r="D17" s="16" t="s">
        <v>12</v>
      </c>
      <c r="E17" s="17">
        <f>SUM(E14:E16)</f>
        <v>136</v>
      </c>
      <c r="F17" s="69">
        <f>GETPIVOTDATA("Promedio de DAP (cm)",$A$3)</f>
        <v>32.835294117647059</v>
      </c>
      <c r="G17" s="69">
        <f>GETPIVOTDATA("Promedio de Altura (m)",$A$3)</f>
        <v>16.088235294117649</v>
      </c>
      <c r="H17" s="69">
        <f>GETPIVOTDATA("Suma de AB/Ha.",$A$3)</f>
        <v>14.086463160000005</v>
      </c>
      <c r="I17" s="69">
        <f>GETPIVOTDATA("Suma de Volumen/Ha.",$A$3)</f>
        <v>97.60151224166961</v>
      </c>
      <c r="J17" s="70">
        <f>I17*C14</f>
        <v>335.74920211134344</v>
      </c>
    </row>
  </sheetData>
  <mergeCells count="10">
    <mergeCell ref="H12:H13"/>
    <mergeCell ref="I12:J12"/>
    <mergeCell ref="B14:B17"/>
    <mergeCell ref="C14:C17"/>
    <mergeCell ref="B12:B13"/>
    <mergeCell ref="C12:C13"/>
    <mergeCell ref="D12:D13"/>
    <mergeCell ref="E12:E13"/>
    <mergeCell ref="F12:F13"/>
    <mergeCell ref="G12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workbookViewId="0">
      <selection activeCell="G13" sqref="G13"/>
    </sheetView>
  </sheetViews>
  <sheetFormatPr baseColWidth="10" defaultColWidth="11.42578125" defaultRowHeight="15" x14ac:dyDescent="0.25"/>
  <cols>
    <col min="1" max="1" width="18.42578125" bestFit="1" customWidth="1"/>
    <col min="2" max="2" width="13" bestFit="1" customWidth="1"/>
    <col min="3" max="4" width="12.42578125" bestFit="1" customWidth="1"/>
    <col min="5" max="5" width="8.5703125" bestFit="1" customWidth="1"/>
    <col min="6" max="6" width="12.85546875" bestFit="1" customWidth="1"/>
    <col min="7" max="7" width="10.42578125" customWidth="1"/>
  </cols>
  <sheetData>
    <row r="3" spans="1:7" x14ac:dyDescent="0.25">
      <c r="B3" s="4" t="s">
        <v>15</v>
      </c>
    </row>
    <row r="4" spans="1:7" ht="30" x14ac:dyDescent="0.25">
      <c r="A4" s="48" t="s">
        <v>31</v>
      </c>
      <c r="B4" s="28" t="s">
        <v>14</v>
      </c>
      <c r="C4" s="28" t="s">
        <v>16</v>
      </c>
      <c r="D4" s="28" t="s">
        <v>17</v>
      </c>
      <c r="E4" s="28" t="s">
        <v>18</v>
      </c>
      <c r="F4" s="48" t="s">
        <v>19</v>
      </c>
      <c r="G4" s="21" t="s">
        <v>30</v>
      </c>
    </row>
    <row r="5" spans="1:7" x14ac:dyDescent="0.25">
      <c r="A5" s="47">
        <v>1</v>
      </c>
      <c r="B5" s="25">
        <v>32</v>
      </c>
      <c r="C5" s="26">
        <v>33.475000000000001</v>
      </c>
      <c r="D5" s="26">
        <v>17.375</v>
      </c>
      <c r="E5" s="26">
        <v>3.1911555984</v>
      </c>
      <c r="F5" s="46">
        <v>23.085489073234399</v>
      </c>
      <c r="G5" s="27">
        <f>F5*3.44</f>
        <v>79.41408241192633</v>
      </c>
    </row>
    <row r="6" spans="1:7" x14ac:dyDescent="0.25">
      <c r="A6" s="47">
        <v>2</v>
      </c>
      <c r="B6" s="25">
        <v>28</v>
      </c>
      <c r="C6" s="26">
        <v>37.942857142857143</v>
      </c>
      <c r="D6" s="26">
        <v>18.142857142857142</v>
      </c>
      <c r="E6" s="26">
        <v>3.5046935615999999</v>
      </c>
      <c r="F6" s="46">
        <v>26.147656462875201</v>
      </c>
      <c r="G6" s="27">
        <f t="shared" ref="G6:G9" si="0">F6*3.44</f>
        <v>89.947938232290696</v>
      </c>
    </row>
    <row r="7" spans="1:7" x14ac:dyDescent="0.25">
      <c r="A7" s="47">
        <v>3</v>
      </c>
      <c r="B7" s="25">
        <v>36</v>
      </c>
      <c r="C7" s="26">
        <v>30</v>
      </c>
      <c r="D7" s="26">
        <v>13.888888888888889</v>
      </c>
      <c r="E7" s="26">
        <v>3.96407088</v>
      </c>
      <c r="F7" s="46">
        <v>26.598502458480002</v>
      </c>
      <c r="G7" s="27">
        <f t="shared" si="0"/>
        <v>91.498848457171206</v>
      </c>
    </row>
    <row r="8" spans="1:7" x14ac:dyDescent="0.25">
      <c r="A8" s="47">
        <v>4</v>
      </c>
      <c r="B8" s="25">
        <v>40</v>
      </c>
      <c r="C8" s="26">
        <v>31.3</v>
      </c>
      <c r="D8" s="26">
        <v>15.6</v>
      </c>
      <c r="E8" s="26">
        <v>3.4265431199999998</v>
      </c>
      <c r="F8" s="46">
        <v>21.769864247080001</v>
      </c>
      <c r="G8" s="27">
        <f t="shared" si="0"/>
        <v>74.888333009955204</v>
      </c>
    </row>
    <row r="9" spans="1:7" x14ac:dyDescent="0.25">
      <c r="A9" s="50" t="s">
        <v>12</v>
      </c>
      <c r="B9" s="29">
        <v>136</v>
      </c>
      <c r="C9" s="30">
        <v>32.835294117647059</v>
      </c>
      <c r="D9" s="30">
        <v>16.088235294117649</v>
      </c>
      <c r="E9" s="30">
        <v>14.086463159999999</v>
      </c>
      <c r="F9" s="49">
        <v>97.601512241669596</v>
      </c>
      <c r="G9" s="75">
        <f t="shared" si="0"/>
        <v>335.74920211134338</v>
      </c>
    </row>
    <row r="10" spans="1:7" x14ac:dyDescent="0.25">
      <c r="G10" s="7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D1" sqref="D1"/>
    </sheetView>
  </sheetViews>
  <sheetFormatPr baseColWidth="10" defaultColWidth="11.42578125" defaultRowHeight="15" x14ac:dyDescent="0.25"/>
  <cols>
    <col min="1" max="1" width="20.28515625" bestFit="1" customWidth="1"/>
    <col min="2" max="4" width="12.42578125" bestFit="1" customWidth="1"/>
    <col min="5" max="5" width="8.5703125" bestFit="1" customWidth="1"/>
    <col min="6" max="6" width="12.85546875" bestFit="1" customWidth="1"/>
    <col min="7" max="7" width="10.42578125" customWidth="1"/>
  </cols>
  <sheetData>
    <row r="3" spans="1:8" x14ac:dyDescent="0.25">
      <c r="B3" s="4" t="s">
        <v>15</v>
      </c>
    </row>
    <row r="4" spans="1:8" ht="45" x14ac:dyDescent="0.25">
      <c r="A4" s="48" t="s">
        <v>33</v>
      </c>
      <c r="B4" s="28" t="s">
        <v>14</v>
      </c>
      <c r="C4" s="28" t="s">
        <v>16</v>
      </c>
      <c r="D4" s="28" t="s">
        <v>17</v>
      </c>
      <c r="E4" s="28" t="s">
        <v>18</v>
      </c>
      <c r="F4" s="48" t="s">
        <v>19</v>
      </c>
      <c r="G4" s="32" t="s">
        <v>32</v>
      </c>
    </row>
    <row r="5" spans="1:8" x14ac:dyDescent="0.25">
      <c r="A5" s="44" t="s">
        <v>54</v>
      </c>
      <c r="B5" s="23">
        <v>12</v>
      </c>
      <c r="C5" s="24">
        <v>17</v>
      </c>
      <c r="D5" s="24">
        <v>13.333333333333334</v>
      </c>
      <c r="E5" s="24">
        <v>0.28431480000000003</v>
      </c>
      <c r="F5" s="45">
        <v>3.5699423759999998</v>
      </c>
      <c r="G5" s="14">
        <f>F5*3.44</f>
        <v>12.280601773439999</v>
      </c>
    </row>
    <row r="6" spans="1:8" x14ac:dyDescent="0.25">
      <c r="A6" s="6" t="s">
        <v>51</v>
      </c>
      <c r="B6" s="23">
        <v>8</v>
      </c>
      <c r="C6" s="24">
        <v>15.5</v>
      </c>
      <c r="D6" s="24">
        <v>12.5</v>
      </c>
      <c r="E6" s="24">
        <v>0.15865080000000001</v>
      </c>
      <c r="F6" s="45">
        <v>2.0206173119999997</v>
      </c>
      <c r="G6" s="71">
        <f t="shared" ref="G6:G19" si="0">F6*3.44</f>
        <v>6.9509235532799991</v>
      </c>
    </row>
    <row r="7" spans="1:8" x14ac:dyDescent="0.25">
      <c r="A7" s="6" t="s">
        <v>52</v>
      </c>
      <c r="B7" s="23">
        <v>4</v>
      </c>
      <c r="C7" s="24">
        <v>20</v>
      </c>
      <c r="D7" s="24">
        <v>15</v>
      </c>
      <c r="E7" s="24">
        <v>0.12566400000000003</v>
      </c>
      <c r="F7" s="45">
        <v>1.549325064</v>
      </c>
      <c r="G7" s="71">
        <f t="shared" si="0"/>
        <v>5.3296782201599999</v>
      </c>
    </row>
    <row r="8" spans="1:8" x14ac:dyDescent="0.25">
      <c r="A8" s="44" t="s">
        <v>58</v>
      </c>
      <c r="B8" s="23">
        <v>104</v>
      </c>
      <c r="C8" s="24">
        <v>38.015384615384612</v>
      </c>
      <c r="D8" s="24">
        <v>17.423076923076923</v>
      </c>
      <c r="E8" s="24">
        <v>13.398452759999998</v>
      </c>
      <c r="F8" s="45">
        <v>89.018341761669603</v>
      </c>
      <c r="G8" s="14">
        <f t="shared" si="0"/>
        <v>306.22309566014343</v>
      </c>
    </row>
    <row r="9" spans="1:8" x14ac:dyDescent="0.25">
      <c r="A9" s="6" t="s">
        <v>51</v>
      </c>
      <c r="B9" s="23">
        <v>12</v>
      </c>
      <c r="C9" s="24">
        <v>18.099999999999998</v>
      </c>
      <c r="D9" s="24">
        <v>14.666666666666666</v>
      </c>
      <c r="E9" s="24">
        <v>0.30960153840000004</v>
      </c>
      <c r="F9" s="45">
        <v>1.7168588417344002</v>
      </c>
      <c r="G9" s="71">
        <f t="shared" si="0"/>
        <v>5.9059944155663366</v>
      </c>
    </row>
    <row r="10" spans="1:8" x14ac:dyDescent="0.25">
      <c r="A10" s="6" t="s">
        <v>52</v>
      </c>
      <c r="B10" s="23">
        <v>16</v>
      </c>
      <c r="C10" s="24">
        <v>22.5</v>
      </c>
      <c r="D10" s="24">
        <v>15.25</v>
      </c>
      <c r="E10" s="24">
        <v>0.64025807999999995</v>
      </c>
      <c r="F10" s="45">
        <v>3.6801875742799997</v>
      </c>
      <c r="G10" s="71">
        <f t="shared" si="0"/>
        <v>12.659845255523198</v>
      </c>
    </row>
    <row r="11" spans="1:8" x14ac:dyDescent="0.25">
      <c r="A11" s="6" t="s">
        <v>59</v>
      </c>
      <c r="B11" s="23">
        <v>28</v>
      </c>
      <c r="C11" s="24">
        <v>36.071428571428569</v>
      </c>
      <c r="D11" s="24">
        <v>16.571428571428573</v>
      </c>
      <c r="E11" s="24">
        <v>2.8743283799999997</v>
      </c>
      <c r="F11" s="45">
        <v>17.54018196014</v>
      </c>
      <c r="G11" s="71">
        <f t="shared" si="0"/>
        <v>60.3382259428816</v>
      </c>
      <c r="H11" s="52"/>
    </row>
    <row r="12" spans="1:8" x14ac:dyDescent="0.25">
      <c r="A12" s="6" t="s">
        <v>60</v>
      </c>
      <c r="B12" s="23">
        <v>32</v>
      </c>
      <c r="C12" s="24">
        <v>43</v>
      </c>
      <c r="D12" s="24">
        <v>19.625</v>
      </c>
      <c r="E12" s="24">
        <v>4.6596211199999997</v>
      </c>
      <c r="F12" s="45">
        <v>33.45126015756</v>
      </c>
      <c r="G12" s="71">
        <f t="shared" si="0"/>
        <v>115.07233494200639</v>
      </c>
      <c r="H12" s="52"/>
    </row>
    <row r="13" spans="1:8" x14ac:dyDescent="0.25">
      <c r="A13" s="6" t="s">
        <v>63</v>
      </c>
      <c r="B13" s="23">
        <v>4</v>
      </c>
      <c r="C13" s="24">
        <v>50</v>
      </c>
      <c r="D13" s="24">
        <v>19</v>
      </c>
      <c r="E13" s="24">
        <v>0.78539999999999999</v>
      </c>
      <c r="F13" s="45">
        <v>5.4553298072000009</v>
      </c>
      <c r="G13" s="71">
        <f t="shared" si="0"/>
        <v>18.766334536768003</v>
      </c>
      <c r="H13" s="52"/>
    </row>
    <row r="14" spans="1:8" x14ac:dyDescent="0.25">
      <c r="A14" s="6" t="s">
        <v>64</v>
      </c>
      <c r="B14" s="23">
        <v>8</v>
      </c>
      <c r="C14" s="24">
        <v>61.3</v>
      </c>
      <c r="D14" s="24">
        <v>21</v>
      </c>
      <c r="E14" s="24">
        <v>2.3620936416</v>
      </c>
      <c r="F14" s="45">
        <v>18.143532363555202</v>
      </c>
      <c r="G14" s="71">
        <f t="shared" si="0"/>
        <v>62.413751330629893</v>
      </c>
      <c r="H14" s="52"/>
    </row>
    <row r="15" spans="1:8" x14ac:dyDescent="0.25">
      <c r="A15" s="6" t="s">
        <v>65</v>
      </c>
      <c r="B15" s="23">
        <v>4</v>
      </c>
      <c r="C15" s="24">
        <v>75</v>
      </c>
      <c r="D15" s="24">
        <v>14</v>
      </c>
      <c r="E15" s="24">
        <v>1.76715</v>
      </c>
      <c r="F15" s="45">
        <v>9.0309910572000014</v>
      </c>
      <c r="G15" s="71">
        <f t="shared" si="0"/>
        <v>31.066609236768006</v>
      </c>
      <c r="H15" s="52"/>
    </row>
    <row r="16" spans="1:8" s="57" customFormat="1" x14ac:dyDescent="0.25">
      <c r="A16" s="44" t="s">
        <v>62</v>
      </c>
      <c r="B16" s="23">
        <v>20</v>
      </c>
      <c r="C16" s="24">
        <v>15.4</v>
      </c>
      <c r="D16" s="24">
        <v>10.8</v>
      </c>
      <c r="E16" s="24">
        <v>0.40369560000000004</v>
      </c>
      <c r="F16" s="45">
        <v>5.0132281039999995</v>
      </c>
      <c r="G16" s="71">
        <f t="shared" si="0"/>
        <v>17.24550467776</v>
      </c>
    </row>
    <row r="17" spans="1:7" s="57" customFormat="1" x14ac:dyDescent="0.25">
      <c r="A17" s="6" t="s">
        <v>51</v>
      </c>
      <c r="B17" s="23">
        <v>16</v>
      </c>
      <c r="C17" s="24">
        <v>13.25</v>
      </c>
      <c r="D17" s="24">
        <v>10</v>
      </c>
      <c r="E17" s="24">
        <v>0.22273944000000001</v>
      </c>
      <c r="F17" s="45">
        <v>3.0800072959999998</v>
      </c>
      <c r="G17" s="71">
        <f t="shared" si="0"/>
        <v>10.595225098239998</v>
      </c>
    </row>
    <row r="18" spans="1:7" s="57" customFormat="1" x14ac:dyDescent="0.25">
      <c r="A18" s="6" t="s">
        <v>52</v>
      </c>
      <c r="B18" s="23">
        <v>4</v>
      </c>
      <c r="C18" s="24">
        <v>24</v>
      </c>
      <c r="D18" s="24">
        <v>14</v>
      </c>
      <c r="E18" s="24">
        <v>0.18095616</v>
      </c>
      <c r="F18" s="45">
        <v>1.933220808</v>
      </c>
      <c r="G18" s="71">
        <f t="shared" si="0"/>
        <v>6.6502795795199994</v>
      </c>
    </row>
    <row r="19" spans="1:7" s="57" customFormat="1" x14ac:dyDescent="0.25">
      <c r="A19" s="51" t="s">
        <v>12</v>
      </c>
      <c r="B19" s="42">
        <v>136</v>
      </c>
      <c r="C19" s="43">
        <v>32.835294117647059</v>
      </c>
      <c r="D19" s="43">
        <v>16.088235294117649</v>
      </c>
      <c r="E19" s="43">
        <v>14.086463160000001</v>
      </c>
      <c r="F19" s="68">
        <v>97.601512241669596</v>
      </c>
      <c r="G19" s="31">
        <f t="shared" si="0"/>
        <v>335.74920211134338</v>
      </c>
    </row>
    <row r="20" spans="1:7" s="57" customFormat="1" x14ac:dyDescent="0.25">
      <c r="G20" s="76"/>
    </row>
    <row r="21" spans="1:7" s="57" customFormat="1" x14ac:dyDescent="0.25">
      <c r="G21" s="76"/>
    </row>
    <row r="22" spans="1:7" s="57" customFormat="1" x14ac:dyDescent="0.25">
      <c r="G22" s="7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workbookViewId="0">
      <selection activeCell="F15" sqref="F15"/>
    </sheetView>
  </sheetViews>
  <sheetFormatPr baseColWidth="10" defaultColWidth="11.42578125" defaultRowHeight="15" x14ac:dyDescent="0.25"/>
  <cols>
    <col min="5" max="5" width="21.140625" customWidth="1"/>
    <col min="6" max="6" width="12.85546875" customWidth="1"/>
  </cols>
  <sheetData>
    <row r="3" spans="2:6" x14ac:dyDescent="0.25">
      <c r="B3" s="90" t="s">
        <v>34</v>
      </c>
      <c r="C3" s="90"/>
      <c r="D3" s="33" t="s">
        <v>35</v>
      </c>
      <c r="E3" s="33" t="s">
        <v>36</v>
      </c>
      <c r="F3" s="34" t="s">
        <v>37</v>
      </c>
    </row>
    <row r="4" spans="2:6" x14ac:dyDescent="0.25">
      <c r="B4" s="90"/>
      <c r="C4" s="90"/>
      <c r="D4" s="35">
        <v>3.44</v>
      </c>
      <c r="E4" s="35">
        <v>2.3530000000000002</v>
      </c>
      <c r="F4" s="35">
        <v>4</v>
      </c>
    </row>
    <row r="5" spans="2:6" x14ac:dyDescent="0.25">
      <c r="B5" s="33" t="s">
        <v>38</v>
      </c>
      <c r="C5" s="33" t="s">
        <v>39</v>
      </c>
      <c r="D5" s="33" t="s">
        <v>40</v>
      </c>
      <c r="E5" s="33" t="s">
        <v>41</v>
      </c>
      <c r="F5" s="33" t="s">
        <v>42</v>
      </c>
    </row>
    <row r="6" spans="2:6" x14ac:dyDescent="0.25">
      <c r="B6" s="33">
        <v>1</v>
      </c>
      <c r="C6" s="46">
        <v>23.085489073234399</v>
      </c>
      <c r="D6" s="36">
        <f>C6*C6</f>
        <v>532.93980575042485</v>
      </c>
      <c r="E6" s="33" t="s">
        <v>43</v>
      </c>
      <c r="F6" s="37">
        <f>C16/F4</f>
        <v>24.400378060417403</v>
      </c>
    </row>
    <row r="7" spans="2:6" x14ac:dyDescent="0.25">
      <c r="B7" s="33">
        <v>2</v>
      </c>
      <c r="C7" s="46">
        <v>26.147656462875201</v>
      </c>
      <c r="D7" s="36">
        <f>C7*C7</f>
        <v>683.69993850053925</v>
      </c>
      <c r="E7" s="33" t="s">
        <v>44</v>
      </c>
      <c r="F7" s="38">
        <f>(((D16)-((C16*C16)/F4))/(F4-1))</f>
        <v>5.5110895519424048</v>
      </c>
    </row>
    <row r="8" spans="2:6" x14ac:dyDescent="0.25">
      <c r="B8" s="33">
        <v>3</v>
      </c>
      <c r="C8" s="46">
        <v>26.598502458480002</v>
      </c>
      <c r="D8" s="36">
        <f>C8*C8</f>
        <v>707.48033303376667</v>
      </c>
      <c r="E8" s="33" t="s">
        <v>45</v>
      </c>
      <c r="F8" s="38">
        <f>SQRT(F7)</f>
        <v>2.3475709897556678</v>
      </c>
    </row>
    <row r="9" spans="2:6" x14ac:dyDescent="0.25">
      <c r="B9" s="33">
        <v>4</v>
      </c>
      <c r="C9" s="46">
        <v>21.769864247080001</v>
      </c>
      <c r="D9" s="36">
        <f t="shared" ref="D9:D15" si="0">C9*C9</f>
        <v>473.92698933629208</v>
      </c>
      <c r="E9" s="33" t="s">
        <v>46</v>
      </c>
      <c r="F9" s="38">
        <f>SQRT(((F7)/F4)*(1-((F4)/(D4*10))))</f>
        <v>1.1034338658747829</v>
      </c>
    </row>
    <row r="10" spans="2:6" x14ac:dyDescent="0.25">
      <c r="B10" s="55"/>
      <c r="C10" s="46"/>
      <c r="D10" s="36">
        <f t="shared" si="0"/>
        <v>0</v>
      </c>
      <c r="E10" s="33" t="s">
        <v>47</v>
      </c>
      <c r="F10" s="38">
        <f>F9*E4</f>
        <v>2.5963798864033643</v>
      </c>
    </row>
    <row r="11" spans="2:6" x14ac:dyDescent="0.25">
      <c r="B11" s="55"/>
      <c r="C11" s="46"/>
      <c r="D11" s="36">
        <f t="shared" si="0"/>
        <v>0</v>
      </c>
      <c r="E11" s="33" t="s">
        <v>47</v>
      </c>
      <c r="F11" s="40">
        <f>((F10)/F6)</f>
        <v>0.10640736303242956</v>
      </c>
    </row>
    <row r="12" spans="2:6" x14ac:dyDescent="0.25">
      <c r="B12" s="33"/>
      <c r="C12" s="39"/>
      <c r="D12" s="36">
        <f t="shared" si="0"/>
        <v>0</v>
      </c>
      <c r="E12" s="33" t="s">
        <v>48</v>
      </c>
      <c r="F12" s="38">
        <f>F6+F10</f>
        <v>26.996757946820768</v>
      </c>
    </row>
    <row r="13" spans="2:6" x14ac:dyDescent="0.25">
      <c r="B13" s="33"/>
      <c r="C13" s="39"/>
      <c r="D13" s="36">
        <f t="shared" si="0"/>
        <v>0</v>
      </c>
      <c r="E13" s="33" t="s">
        <v>49</v>
      </c>
      <c r="F13" s="38">
        <f>F6-F10</f>
        <v>21.803998174014037</v>
      </c>
    </row>
    <row r="14" spans="2:6" x14ac:dyDescent="0.25">
      <c r="B14" s="33"/>
      <c r="C14" s="39"/>
      <c r="D14" s="36">
        <f t="shared" si="0"/>
        <v>0</v>
      </c>
      <c r="E14" s="33"/>
      <c r="F14" s="38"/>
    </row>
    <row r="15" spans="2:6" x14ac:dyDescent="0.25">
      <c r="B15" s="33"/>
      <c r="C15" s="39"/>
      <c r="D15" s="36">
        <f t="shared" si="0"/>
        <v>0</v>
      </c>
      <c r="E15" s="33"/>
      <c r="F15" s="38"/>
    </row>
    <row r="16" spans="2:6" x14ac:dyDescent="0.25">
      <c r="B16" s="33" t="s">
        <v>50</v>
      </c>
      <c r="C16" s="41">
        <f>SUM(C6:C15)</f>
        <v>97.60151224166961</v>
      </c>
      <c r="D16" s="41">
        <f>SUM(D6:D15)</f>
        <v>2398.0470666210231</v>
      </c>
      <c r="E16" s="33"/>
      <c r="F16" s="33"/>
    </row>
  </sheetData>
  <mergeCells count="1">
    <mergeCell ref="B3:C4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baseColWidth="10" defaultColWidth="11.42578125" defaultRowHeight="15" x14ac:dyDescent="0.25"/>
  <sheetData>
    <row r="1" spans="1:3" x14ac:dyDescent="0.25">
      <c r="A1" s="79" t="s">
        <v>20</v>
      </c>
      <c r="B1" s="79" t="s">
        <v>68</v>
      </c>
      <c r="C1" s="79" t="s">
        <v>69</v>
      </c>
    </row>
    <row r="2" spans="1:3" x14ac:dyDescent="0.25">
      <c r="A2" s="1">
        <v>1</v>
      </c>
      <c r="B2" s="57">
        <v>392136</v>
      </c>
      <c r="C2" s="57">
        <v>1724782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" sqref="E1"/>
    </sheetView>
  </sheetViews>
  <sheetFormatPr baseColWidth="10" defaultColWidth="11.42578125" defaultRowHeight="15" x14ac:dyDescent="0.25"/>
  <cols>
    <col min="1" max="1" width="11.42578125" style="1"/>
    <col min="5" max="5" width="14" bestFit="1" customWidth="1"/>
    <col min="7" max="8" width="15" bestFit="1" customWidth="1"/>
  </cols>
  <sheetData>
    <row r="1" spans="1:11" x14ac:dyDescent="0.25">
      <c r="A1" s="82" t="s">
        <v>75</v>
      </c>
      <c r="B1" s="79" t="s">
        <v>20</v>
      </c>
      <c r="C1" s="79" t="s">
        <v>68</v>
      </c>
      <c r="D1" s="79" t="s">
        <v>69</v>
      </c>
      <c r="E1" s="80" t="s">
        <v>72</v>
      </c>
      <c r="F1" s="80" t="s">
        <v>73</v>
      </c>
      <c r="G1" s="80" t="s">
        <v>74</v>
      </c>
      <c r="H1" s="82" t="s">
        <v>76</v>
      </c>
      <c r="I1" s="82" t="s">
        <v>77</v>
      </c>
      <c r="J1" s="82" t="s">
        <v>78</v>
      </c>
      <c r="K1" t="s">
        <v>71</v>
      </c>
    </row>
    <row r="2" spans="1:11" x14ac:dyDescent="0.25">
      <c r="A2" s="83" t="s">
        <v>79</v>
      </c>
      <c r="B2" s="1">
        <v>1</v>
      </c>
      <c r="C2" s="57">
        <v>392507</v>
      </c>
      <c r="D2" s="57">
        <v>1725193</v>
      </c>
      <c r="E2" s="72">
        <f>500/10000</f>
        <v>0.05</v>
      </c>
      <c r="G2" s="81">
        <v>41306</v>
      </c>
      <c r="K2" t="s">
        <v>70</v>
      </c>
    </row>
    <row r="3" spans="1:11" x14ac:dyDescent="0.25">
      <c r="A3" s="83" t="s">
        <v>79</v>
      </c>
      <c r="B3" s="1">
        <v>2</v>
      </c>
      <c r="C3" s="57">
        <v>392419</v>
      </c>
      <c r="D3" s="57">
        <v>1725103</v>
      </c>
      <c r="E3" s="72">
        <f t="shared" ref="E3:E5" si="0">500/10000</f>
        <v>0.05</v>
      </c>
      <c r="G3" s="81">
        <v>41306</v>
      </c>
      <c r="K3" s="1" t="s">
        <v>70</v>
      </c>
    </row>
    <row r="4" spans="1:11" x14ac:dyDescent="0.25">
      <c r="A4" s="83" t="s">
        <v>79</v>
      </c>
      <c r="B4" s="1">
        <v>3</v>
      </c>
      <c r="C4" s="57">
        <v>392287</v>
      </c>
      <c r="D4" s="57">
        <v>1724964</v>
      </c>
      <c r="E4" s="72">
        <f t="shared" si="0"/>
        <v>0.05</v>
      </c>
      <c r="G4" s="81">
        <v>41306</v>
      </c>
      <c r="K4" s="1" t="s">
        <v>70</v>
      </c>
    </row>
    <row r="5" spans="1:11" x14ac:dyDescent="0.25">
      <c r="A5" s="83" t="s">
        <v>79</v>
      </c>
      <c r="B5" s="1">
        <v>4</v>
      </c>
      <c r="C5" s="57">
        <v>392151</v>
      </c>
      <c r="D5" s="57">
        <v>1724834</v>
      </c>
      <c r="E5" s="72">
        <f t="shared" si="0"/>
        <v>0.05</v>
      </c>
      <c r="G5" s="81">
        <v>41306</v>
      </c>
      <c r="K5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base de datos</vt:lpstr>
      <vt:lpstr>% de abundancia</vt:lpstr>
      <vt:lpstr>cuadro 3</vt:lpstr>
      <vt:lpstr>anexo 2</vt:lpstr>
      <vt:lpstr>anexo 3</vt:lpstr>
      <vt:lpstr>analisis</vt:lpstr>
      <vt:lpstr>P. referencia</vt:lpstr>
      <vt:lpstr>Parcelas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DangerGo</cp:lastModifiedBy>
  <cp:lastPrinted>2013-10-30T04:25:04Z</cp:lastPrinted>
  <dcterms:created xsi:type="dcterms:W3CDTF">2013-02-20T15:36:32Z</dcterms:created>
  <dcterms:modified xsi:type="dcterms:W3CDTF">2017-03-27T00:05:01Z</dcterms:modified>
</cp:coreProperties>
</file>