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CARBONO_REDD+GT\ASINFOR\HENRY_LOPEZ_IF_2013\"/>
    </mc:Choice>
  </mc:AlternateContent>
  <bookViews>
    <workbookView xWindow="240" yWindow="75" windowWidth="15480" windowHeight="7995" activeTab="7"/>
  </bookViews>
  <sheets>
    <sheet name="base de datos" sheetId="1" r:id="rId1"/>
    <sheet name="% de abundancia" sheetId="4" r:id="rId2"/>
    <sheet name="cuadro 3" sheetId="5" r:id="rId3"/>
    <sheet name="anexo 2" sheetId="6" r:id="rId4"/>
    <sheet name="anexo 3" sheetId="7" r:id="rId5"/>
    <sheet name="analisis" sheetId="2" r:id="rId6"/>
    <sheet name="P. referencia" sheetId="8" r:id="rId7"/>
    <sheet name="Parcelas" sheetId="9" r:id="rId8"/>
  </sheets>
  <definedNames>
    <definedName name="_xlnm._FilterDatabase" localSheetId="0" hidden="1">'base de datos'!$A$1:$L$73</definedName>
  </definedNames>
  <calcPr calcId="152511"/>
  <pivotCaches>
    <pivotCache cacheId="39" r:id="rId9"/>
  </pivotCaches>
</workbook>
</file>

<file path=xl/calcChain.xml><?xml version="1.0" encoding="utf-8"?>
<calcChain xmlns="http://schemas.openxmlformats.org/spreadsheetml/2006/main">
  <c r="E5" i="9" l="1"/>
  <c r="E4" i="9"/>
  <c r="E3" i="9"/>
  <c r="E2" i="9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G9" i="6"/>
  <c r="G8" i="6"/>
  <c r="G7" i="6"/>
  <c r="G6" i="6"/>
  <c r="G5" i="6"/>
  <c r="O3" i="1"/>
  <c r="K33" i="1" l="1"/>
  <c r="K29" i="1"/>
  <c r="K28" i="1"/>
  <c r="K17" i="1"/>
  <c r="K16" i="1"/>
  <c r="K14" i="1"/>
  <c r="K11" i="1"/>
  <c r="K8" i="1"/>
  <c r="K4" i="1"/>
  <c r="J2" i="1"/>
  <c r="H3" i="1"/>
  <c r="L4" i="1"/>
  <c r="G5" i="7"/>
  <c r="G6" i="7"/>
  <c r="G7" i="7"/>
  <c r="G8" i="7"/>
  <c r="D14" i="5"/>
  <c r="E14" i="4"/>
  <c r="D14" i="4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K36" i="1"/>
  <c r="K35" i="1"/>
  <c r="K34" i="1"/>
  <c r="H36" i="1"/>
  <c r="I36" i="1" s="1"/>
  <c r="H35" i="1"/>
  <c r="I35" i="1" s="1"/>
  <c r="H34" i="1"/>
  <c r="I34" i="1" s="1"/>
  <c r="K2" i="1"/>
  <c r="K10" i="4"/>
  <c r="L7" i="5"/>
  <c r="C16" i="2"/>
  <c r="D15" i="2"/>
  <c r="D14" i="2"/>
  <c r="D13" i="2"/>
  <c r="D12" i="2"/>
  <c r="D11" i="2"/>
  <c r="D10" i="2"/>
  <c r="D9" i="2"/>
  <c r="D8" i="2"/>
  <c r="D7" i="2"/>
  <c r="F6" i="2"/>
  <c r="D6" i="2"/>
  <c r="K3" i="1"/>
  <c r="H4" i="1"/>
  <c r="I4" i="1" s="1"/>
  <c r="H5" i="1"/>
  <c r="I5" i="1" s="1"/>
  <c r="K5" i="1"/>
  <c r="H6" i="1"/>
  <c r="I6" i="1" s="1"/>
  <c r="K6" i="1"/>
  <c r="H7" i="1"/>
  <c r="I7" i="1" s="1"/>
  <c r="K7" i="1"/>
  <c r="H8" i="1"/>
  <c r="I8" i="1" s="1"/>
  <c r="H9" i="1"/>
  <c r="I9" i="1" s="1"/>
  <c r="K9" i="1"/>
  <c r="H10" i="1"/>
  <c r="I10" i="1" s="1"/>
  <c r="K10" i="1"/>
  <c r="H11" i="1"/>
  <c r="I11" i="1" s="1"/>
  <c r="H12" i="1"/>
  <c r="I12" i="1" s="1"/>
  <c r="K12" i="1"/>
  <c r="H13" i="1"/>
  <c r="I13" i="1" s="1"/>
  <c r="K13" i="1"/>
  <c r="H14" i="1"/>
  <c r="I14" i="1" s="1"/>
  <c r="H15" i="1"/>
  <c r="I15" i="1" s="1"/>
  <c r="K15" i="1"/>
  <c r="H16" i="1"/>
  <c r="I16" i="1" s="1"/>
  <c r="H17" i="1"/>
  <c r="I17" i="1" s="1"/>
  <c r="H18" i="1"/>
  <c r="I18" i="1" s="1"/>
  <c r="K18" i="1"/>
  <c r="H19" i="1"/>
  <c r="I19" i="1" s="1"/>
  <c r="K19" i="1"/>
  <c r="H20" i="1"/>
  <c r="I20" i="1" s="1"/>
  <c r="K20" i="1"/>
  <c r="H21" i="1"/>
  <c r="I21" i="1" s="1"/>
  <c r="K21" i="1"/>
  <c r="H22" i="1"/>
  <c r="I22" i="1" s="1"/>
  <c r="K22" i="1"/>
  <c r="H23" i="1"/>
  <c r="I23" i="1" s="1"/>
  <c r="K23" i="1"/>
  <c r="H24" i="1"/>
  <c r="I24" i="1" s="1"/>
  <c r="K24" i="1"/>
  <c r="H25" i="1"/>
  <c r="I25" i="1" s="1"/>
  <c r="K25" i="1"/>
  <c r="H26" i="1"/>
  <c r="I26" i="1" s="1"/>
  <c r="K26" i="1"/>
  <c r="H27" i="1"/>
  <c r="I27" i="1" s="1"/>
  <c r="K27" i="1"/>
  <c r="H28" i="1"/>
  <c r="I28" i="1" s="1"/>
  <c r="H29" i="1"/>
  <c r="I29" i="1" s="1"/>
  <c r="H30" i="1"/>
  <c r="I30" i="1" s="1"/>
  <c r="K30" i="1"/>
  <c r="H31" i="1"/>
  <c r="I31" i="1" s="1"/>
  <c r="K31" i="1"/>
  <c r="H32" i="1"/>
  <c r="I32" i="1" s="1"/>
  <c r="K32" i="1"/>
  <c r="H33" i="1"/>
  <c r="I33" i="1" s="1"/>
  <c r="H37" i="1"/>
  <c r="I37" i="1" s="1"/>
  <c r="K37" i="1"/>
  <c r="H38" i="1"/>
  <c r="I38" i="1" s="1"/>
  <c r="K38" i="1"/>
  <c r="H39" i="1"/>
  <c r="I39" i="1" s="1"/>
  <c r="K39" i="1"/>
  <c r="H40" i="1"/>
  <c r="I40" i="1" s="1"/>
  <c r="K40" i="1"/>
  <c r="H41" i="1"/>
  <c r="I41" i="1" s="1"/>
  <c r="K41" i="1"/>
  <c r="H42" i="1"/>
  <c r="I42" i="1" s="1"/>
  <c r="K42" i="1"/>
  <c r="H43" i="1"/>
  <c r="I43" i="1" s="1"/>
  <c r="K43" i="1"/>
  <c r="H44" i="1"/>
  <c r="I44" i="1" s="1"/>
  <c r="K44" i="1"/>
  <c r="H45" i="1"/>
  <c r="I45" i="1" s="1"/>
  <c r="K45" i="1"/>
  <c r="H46" i="1"/>
  <c r="I46" i="1" s="1"/>
  <c r="K46" i="1"/>
  <c r="H47" i="1"/>
  <c r="I47" i="1" s="1"/>
  <c r="K47" i="1"/>
  <c r="H48" i="1"/>
  <c r="I48" i="1" s="1"/>
  <c r="K48" i="1"/>
  <c r="H49" i="1"/>
  <c r="I49" i="1" s="1"/>
  <c r="K49" i="1"/>
  <c r="H50" i="1"/>
  <c r="I50" i="1" s="1"/>
  <c r="K50" i="1"/>
  <c r="H51" i="1"/>
  <c r="I51" i="1" s="1"/>
  <c r="K51" i="1"/>
  <c r="H52" i="1"/>
  <c r="I52" i="1" s="1"/>
  <c r="K52" i="1"/>
  <c r="H53" i="1"/>
  <c r="I53" i="1" s="1"/>
  <c r="K53" i="1"/>
  <c r="H54" i="1"/>
  <c r="I54" i="1" s="1"/>
  <c r="K54" i="1"/>
  <c r="H55" i="1"/>
  <c r="I55" i="1" s="1"/>
  <c r="K55" i="1"/>
  <c r="H56" i="1"/>
  <c r="I56" i="1" s="1"/>
  <c r="K56" i="1"/>
  <c r="H57" i="1"/>
  <c r="I57" i="1" s="1"/>
  <c r="K57" i="1"/>
  <c r="H58" i="1"/>
  <c r="I58" i="1" s="1"/>
  <c r="K58" i="1"/>
  <c r="H59" i="1"/>
  <c r="I59" i="1" s="1"/>
  <c r="K59" i="1"/>
  <c r="H2" i="1"/>
  <c r="I2" i="1" s="1"/>
  <c r="G14" i="5"/>
  <c r="H15" i="5"/>
  <c r="F15" i="5"/>
  <c r="E14" i="5"/>
  <c r="G15" i="5"/>
  <c r="F14" i="5"/>
  <c r="I15" i="5"/>
  <c r="F14" i="4"/>
  <c r="H14" i="5"/>
  <c r="I14" i="5"/>
  <c r="D16" i="2" l="1"/>
  <c r="I3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L5" i="1"/>
  <c r="L3" i="1"/>
  <c r="L2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L6" i="1"/>
  <c r="J15" i="5"/>
  <c r="F7" i="2"/>
  <c r="F9" i="2" s="1"/>
  <c r="F10" i="2" s="1"/>
  <c r="F11" i="2" s="1"/>
  <c r="F15" i="4"/>
  <c r="G15" i="4" s="1"/>
  <c r="E15" i="5"/>
  <c r="J14" i="5"/>
  <c r="G14" i="4" l="1"/>
  <c r="F8" i="2"/>
  <c r="F13" i="2"/>
  <c r="F12" i="2"/>
</calcChain>
</file>

<file path=xl/sharedStrings.xml><?xml version="1.0" encoding="utf-8"?>
<sst xmlns="http://schemas.openxmlformats.org/spreadsheetml/2006/main" count="323" uniqueCount="71">
  <si>
    <t>Parcela</t>
  </si>
  <si>
    <t>No. Arbol</t>
  </si>
  <si>
    <t>Nombre común</t>
  </si>
  <si>
    <t>Especie</t>
  </si>
  <si>
    <t>Clase diámetrica</t>
  </si>
  <si>
    <t>DAP (cm)</t>
  </si>
  <si>
    <t>Altura (m)</t>
  </si>
  <si>
    <t>Area Basal (m2)</t>
  </si>
  <si>
    <t>AB/Ha.</t>
  </si>
  <si>
    <t>Volumen (m3)</t>
  </si>
  <si>
    <t>Volumen/Ha.</t>
  </si>
  <si>
    <t>Densidad/Ha.</t>
  </si>
  <si>
    <t>Rótulos de fila</t>
  </si>
  <si>
    <t>Total general</t>
  </si>
  <si>
    <t>Cuenta de No. Arbol</t>
  </si>
  <si>
    <t>Suma de Densidad/Ha.</t>
  </si>
  <si>
    <t>Valores</t>
  </si>
  <si>
    <t>Promedio de DAP (cm)</t>
  </si>
  <si>
    <t>Promedio de Altura (m)</t>
  </si>
  <si>
    <t>Suma de AB/Ha.</t>
  </si>
  <si>
    <t>Suma de Volumen/Ha.</t>
  </si>
  <si>
    <t>No.</t>
  </si>
  <si>
    <t>NOMBRE COMUN</t>
  </si>
  <si>
    <t>ESPECIE</t>
  </si>
  <si>
    <t>PRESENCIA</t>
  </si>
  <si>
    <t>% DE ABUNDANCIA</t>
  </si>
  <si>
    <t>Total General</t>
  </si>
  <si>
    <t>Rodal</t>
  </si>
  <si>
    <t>Área (has)</t>
  </si>
  <si>
    <r>
      <t>Volumen m</t>
    </r>
    <r>
      <rPr>
        <b/>
        <sz val="11"/>
        <color theme="1"/>
        <rFont val="Calibri"/>
        <family val="2"/>
      </rPr>
      <t>³</t>
    </r>
  </si>
  <si>
    <t>Ha.</t>
  </si>
  <si>
    <t>Volumen/ Rodal</t>
  </si>
  <si>
    <t>No. De Parcela</t>
  </si>
  <si>
    <t>Volumen Total</t>
  </si>
  <si>
    <t>Especie y Clase Diametrica</t>
  </si>
  <si>
    <t>ANALISIS ESTADISTICO</t>
  </si>
  <si>
    <t>AREA (Ha.)</t>
  </si>
  <si>
    <t>VALOR DE T</t>
  </si>
  <si>
    <t>No. PARCELAS</t>
  </si>
  <si>
    <t>PARCELA</t>
  </si>
  <si>
    <t>VOLUMEN/ha</t>
  </si>
  <si>
    <t>(VOLUMEN)²</t>
  </si>
  <si>
    <t>PARAMETRO</t>
  </si>
  <si>
    <t>RESULTADO</t>
  </si>
  <si>
    <t>MEDIA ARITMETICA</t>
  </si>
  <si>
    <t xml:space="preserve">VARIANZA </t>
  </si>
  <si>
    <t>DESVIACION ESTANDAR</t>
  </si>
  <si>
    <t>ERROR ESTANDAR</t>
  </si>
  <si>
    <t>ERROR DE MUESTREO</t>
  </si>
  <si>
    <t xml:space="preserve">LIMITE SUPERIOR </t>
  </si>
  <si>
    <t>LIMITE INFERIOR</t>
  </si>
  <si>
    <t>TOTAL</t>
  </si>
  <si>
    <t>Pino</t>
  </si>
  <si>
    <t>10 - 19.9</t>
  </si>
  <si>
    <t>20 - 29.9</t>
  </si>
  <si>
    <t>Pinus sp.</t>
  </si>
  <si>
    <t>area</t>
  </si>
  <si>
    <t>ha.</t>
  </si>
  <si>
    <t>mts.</t>
  </si>
  <si>
    <t>X</t>
  </si>
  <si>
    <t>Y</t>
  </si>
  <si>
    <t>Santiago Gregorio Hernandez</t>
  </si>
  <si>
    <t>AREA PARCELA</t>
  </si>
  <si>
    <t>AREA TOTAL</t>
  </si>
  <si>
    <t>FECHA</t>
  </si>
  <si>
    <t>PROPIETARIO</t>
  </si>
  <si>
    <t>BASE_DATOS</t>
  </si>
  <si>
    <t>AÑO</t>
  </si>
  <si>
    <t>MUNICIPIO</t>
  </si>
  <si>
    <t>DEPTO</t>
  </si>
  <si>
    <t>BD15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</si>
</sst>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\ &quot;m³&quot;"/>
  </numFmts>
  <fonts count="10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11"/>
      <color rgb="FFFF000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/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NumberFormat="1" applyBorder="1"/>
    <xf numFmtId="2" fontId="0" fillId="0" borderId="2" xfId="0" applyNumberFormat="1" applyBorder="1"/>
    <xf numFmtId="2" fontId="0" fillId="0" borderId="2" xfId="0" applyNumberForma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1" fontId="0" fillId="0" borderId="2" xfId="0" applyNumberFormat="1" applyBorder="1"/>
    <xf numFmtId="0" fontId="2" fillId="4" borderId="2" xfId="0" applyFont="1" applyFill="1" applyBorder="1" applyAlignment="1">
      <alignment horizontal="left"/>
    </xf>
    <xf numFmtId="1" fontId="2" fillId="4" borderId="2" xfId="0" applyNumberFormat="1" applyFont="1" applyFill="1" applyBorder="1"/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/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wrapText="1"/>
    </xf>
    <xf numFmtId="0" fontId="2" fillId="5" borderId="2" xfId="0" applyFont="1" applyFill="1" applyBorder="1"/>
    <xf numFmtId="1" fontId="2" fillId="5" borderId="2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3" borderId="2" xfId="0" applyNumberForma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wrapText="1"/>
    </xf>
    <xf numFmtId="1" fontId="0" fillId="5" borderId="2" xfId="0" applyNumberFormat="1" applyFill="1" applyBorder="1" applyAlignment="1">
      <alignment horizontal="center" wrapText="1"/>
    </xf>
    <xf numFmtId="2" fontId="0" fillId="5" borderId="2" xfId="0" applyNumberFormat="1" applyFill="1" applyBorder="1" applyAlignment="1">
      <alignment horizont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2" fontId="2" fillId="5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/>
    </xf>
    <xf numFmtId="0" fontId="5" fillId="0" borderId="2" xfId="1" applyFont="1" applyBorder="1"/>
    <xf numFmtId="0" fontId="5" fillId="7" borderId="2" xfId="1" applyFont="1" applyFill="1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165" fontId="6" fillId="0" borderId="2" xfId="1" applyNumberFormat="1" applyFont="1" applyBorder="1" applyAlignment="1">
      <alignment horizontal="right"/>
    </xf>
    <xf numFmtId="164" fontId="6" fillId="0" borderId="2" xfId="1" applyNumberFormat="1" applyFont="1" applyBorder="1" applyAlignment="1">
      <alignment horizontal="right"/>
    </xf>
    <xf numFmtId="2" fontId="0" fillId="0" borderId="2" xfId="0" applyNumberFormat="1" applyFill="1" applyBorder="1" applyAlignment="1">
      <alignment horizontal="center" vertical="center"/>
    </xf>
    <xf numFmtId="10" fontId="6" fillId="8" borderId="2" xfId="2" applyNumberFormat="1" applyFont="1" applyFill="1" applyBorder="1" applyAlignment="1">
      <alignment horizontal="right"/>
    </xf>
    <xf numFmtId="164" fontId="6" fillId="0" borderId="2" xfId="1" applyNumberFormat="1" applyFont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0" fillId="0" borderId="3" xfId="0" applyBorder="1" applyAlignment="1">
      <alignment horizontal="left"/>
    </xf>
    <xf numFmtId="2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2" fontId="0" fillId="5" borderId="3" xfId="0" applyNumberFormat="1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3" xfId="0" applyFill="1" applyBorder="1" applyAlignment="1">
      <alignment horizontal="left"/>
    </xf>
    <xf numFmtId="0" fontId="0" fillId="3" borderId="0" xfId="0" applyFill="1" applyBorder="1"/>
    <xf numFmtId="2" fontId="2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9" borderId="2" xfId="0" applyFont="1" applyFill="1" applyBorder="1"/>
    <xf numFmtId="0" fontId="0" fillId="10" borderId="2" xfId="0" applyFill="1" applyBorder="1"/>
    <xf numFmtId="0" fontId="0" fillId="11" borderId="2" xfId="0" applyFill="1" applyBorder="1"/>
    <xf numFmtId="2" fontId="0" fillId="5" borderId="3" xfId="0" applyNumberFormat="1" applyFill="1" applyBorder="1" applyAlignment="1">
      <alignment horizontal="center"/>
    </xf>
    <xf numFmtId="2" fontId="2" fillId="4" borderId="2" xfId="0" applyNumberFormat="1" applyFont="1" applyFill="1" applyBorder="1"/>
    <xf numFmtId="0" fontId="2" fillId="0" borderId="0" xfId="0" applyFont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17" fontId="0" fillId="0" borderId="0" xfId="0" applyNumberFormat="1"/>
    <xf numFmtId="0" fontId="8" fillId="12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5" fillId="0" borderId="2" xfId="1" applyFont="1" applyBorder="1" applyAlignment="1">
      <alignment horizontal="center"/>
    </xf>
  </cellXfs>
  <cellStyles count="3">
    <cellStyle name="Normal" xfId="0" builtinId="0"/>
    <cellStyle name="Normal 2" xfId="1"/>
    <cellStyle name="Porcentaje 2" xfId="2"/>
  </cellStyles>
  <dxfs count="40">
    <dxf>
      <border>
        <bottom style="thin">
          <color indexed="64"/>
        </bottom>
        <horizontal style="thin">
          <color indexed="64"/>
        </horizontal>
      </border>
    </dxf>
    <dxf>
      <alignment horizontal="center" readingOrder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numFmt numFmtId="2" formatCode="0.00"/>
    </dxf>
    <dxf>
      <numFmt numFmtId="1" formatCode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final" refreshedDate="41773.696327199075" createdVersion="3" refreshedVersion="3" minRefreshableVersion="3" recordCount="72">
  <cacheSource type="worksheet">
    <worksheetSource ref="A1:L73" sheet="base de datos"/>
  </cacheSource>
  <cacheFields count="12">
    <cacheField name="Parcela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No. Arbol" numFmtId="0">
      <sharedItems containsSemiMixedTypes="0" containsString="0" containsNumber="1" containsInteger="1" minValue="1" maxValue="21"/>
    </cacheField>
    <cacheField name="Nombre común" numFmtId="0">
      <sharedItems count="2">
        <s v="Pino"/>
        <s v="Aliso" u="1"/>
      </sharedItems>
    </cacheField>
    <cacheField name="Especie" numFmtId="0">
      <sharedItems count="2">
        <s v="Pinus sp."/>
        <s v="Alnus sp." u="1"/>
      </sharedItems>
    </cacheField>
    <cacheField name="Clase diámetrica" numFmtId="0">
      <sharedItems count="2">
        <s v="10 - 19.9"/>
        <s v="20 - 29.9"/>
      </sharedItems>
    </cacheField>
    <cacheField name="DAP (cm)" numFmtId="0">
      <sharedItems containsSemiMixedTypes="0" containsString="0" containsNumber="1" containsInteger="1" minValue="10" maxValue="20"/>
    </cacheField>
    <cacheField name="Altura (m)" numFmtId="0">
      <sharedItems containsSemiMixedTypes="0" containsString="0" containsNumber="1" containsInteger="1" minValue="4" maxValue="12"/>
    </cacheField>
    <cacheField name="Area Basal (m2)" numFmtId="2">
      <sharedItems containsSemiMixedTypes="0" containsString="0" containsNumber="1" minValue="7.8540000000000016E-3" maxValue="3.1416000000000006E-2"/>
    </cacheField>
    <cacheField name="AB/Ha." numFmtId="2">
      <sharedItems containsSemiMixedTypes="0" containsString="0" containsNumber="1" minValue="3.9270000000000006E-2" maxValue="0.15708000000000003"/>
    </cacheField>
    <cacheField name="Volumen (m3)" numFmtId="2">
      <sharedItems containsSemiMixedTypes="0" containsString="0" containsNumber="1" minValue="1.6523256799999997E-2" maxValue="0.14238613680000001"/>
    </cacheField>
    <cacheField name="Volumen/Ha." numFmtId="2">
      <sharedItems containsSemiMixedTypes="0" containsString="0" containsNumber="1" minValue="8.2616283999999984E-2" maxValue="0.71193068400000004"/>
    </cacheField>
    <cacheField name="Densidad/Ha." numFmtId="2">
      <sharedItems containsSemiMixedTypes="0" containsString="0" containsNumber="1" containsInteger="1" minValue="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n v="1"/>
    <x v="0"/>
    <x v="0"/>
    <x v="0"/>
    <n v="16"/>
    <n v="6"/>
    <n v="2.0106240000000001E-2"/>
    <n v="0.1005312"/>
    <n v="4.9018763999999992E-2"/>
    <n v="0.24509381999999996"/>
    <n v="5"/>
  </r>
  <r>
    <x v="0"/>
    <n v="2"/>
    <x v="0"/>
    <x v="0"/>
    <x v="0"/>
    <n v="14"/>
    <n v="5"/>
    <n v="1.5393840000000002E-2"/>
    <n v="7.6969200000000002E-2"/>
    <n v="3.3114272799999997E-2"/>
    <n v="0.16557136399999997"/>
    <n v="5"/>
  </r>
  <r>
    <x v="0"/>
    <n v="3"/>
    <x v="0"/>
    <x v="0"/>
    <x v="0"/>
    <n v="12"/>
    <n v="6"/>
    <n v="1.130976E-2"/>
    <n v="5.6548799999999996E-2"/>
    <n v="2.9796069599999999E-2"/>
    <n v="0.14898034799999998"/>
    <n v="5"/>
  </r>
  <r>
    <x v="0"/>
    <n v="4"/>
    <x v="0"/>
    <x v="0"/>
    <x v="0"/>
    <n v="17"/>
    <n v="7"/>
    <n v="2.2698060000000003E-2"/>
    <n v="0.1134903"/>
    <n v="6.2949496399999999E-2"/>
    <n v="0.31474748199999997"/>
    <n v="5"/>
  </r>
  <r>
    <x v="0"/>
    <n v="5"/>
    <x v="0"/>
    <x v="0"/>
    <x v="0"/>
    <n v="15"/>
    <n v="5"/>
    <n v="1.76715E-2"/>
    <n v="8.8357499999999992E-2"/>
    <n v="3.72620268E-2"/>
    <n v="0.18631013399999999"/>
    <n v="5"/>
  </r>
  <r>
    <x v="0"/>
    <n v="6"/>
    <x v="0"/>
    <x v="0"/>
    <x v="0"/>
    <n v="18"/>
    <n v="6"/>
    <n v="2.5446959999999998E-2"/>
    <n v="0.12723479999999998"/>
    <n v="6.0689685600000001E-2"/>
    <n v="0.30344842799999999"/>
    <n v="5"/>
  </r>
  <r>
    <x v="0"/>
    <n v="7"/>
    <x v="0"/>
    <x v="0"/>
    <x v="0"/>
    <n v="19"/>
    <n v="9"/>
    <n v="2.835294E-2"/>
    <n v="0.14176469999999999"/>
    <n v="9.8019471600000005E-2"/>
    <n v="0.49009735799999998"/>
    <n v="5"/>
  </r>
  <r>
    <x v="0"/>
    <n v="8"/>
    <x v="0"/>
    <x v="0"/>
    <x v="0"/>
    <n v="18"/>
    <n v="10"/>
    <n v="2.5446959999999998E-2"/>
    <n v="0.12723479999999998"/>
    <n v="9.77620248E-2"/>
    <n v="0.48881012399999996"/>
    <n v="5"/>
  </r>
  <r>
    <x v="0"/>
    <n v="9"/>
    <x v="0"/>
    <x v="0"/>
    <x v="0"/>
    <n v="14"/>
    <n v="7"/>
    <n v="1.5393840000000002E-2"/>
    <n v="7.6969200000000002E-2"/>
    <n v="4.4327511200000003E-2"/>
    <n v="0.22163755600000001"/>
    <n v="5"/>
  </r>
  <r>
    <x v="0"/>
    <n v="10"/>
    <x v="0"/>
    <x v="0"/>
    <x v="0"/>
    <n v="14"/>
    <n v="7"/>
    <n v="1.5393840000000002E-2"/>
    <n v="7.6969200000000002E-2"/>
    <n v="4.4327511200000003E-2"/>
    <n v="0.22163755600000001"/>
    <n v="5"/>
  </r>
  <r>
    <x v="0"/>
    <n v="11"/>
    <x v="0"/>
    <x v="0"/>
    <x v="0"/>
    <n v="18"/>
    <n v="7"/>
    <n v="2.5446959999999998E-2"/>
    <n v="0.12723479999999998"/>
    <n v="6.9957770399999994E-2"/>
    <n v="0.34978885199999993"/>
    <n v="5"/>
  </r>
  <r>
    <x v="0"/>
    <n v="12"/>
    <x v="0"/>
    <x v="0"/>
    <x v="0"/>
    <n v="19"/>
    <n v="8"/>
    <n v="2.835294E-2"/>
    <n v="0.14176469999999999"/>
    <n v="8.7692994400000002E-2"/>
    <n v="0.43846497200000001"/>
    <n v="5"/>
  </r>
  <r>
    <x v="0"/>
    <n v="13"/>
    <x v="0"/>
    <x v="0"/>
    <x v="0"/>
    <n v="12"/>
    <n v="5"/>
    <n v="1.130976E-2"/>
    <n v="5.6548799999999996E-2"/>
    <n v="2.5676920799999999E-2"/>
    <n v="0.12838460399999999"/>
    <n v="5"/>
  </r>
  <r>
    <x v="0"/>
    <n v="14"/>
    <x v="0"/>
    <x v="0"/>
    <x v="0"/>
    <n v="13"/>
    <n v="6"/>
    <n v="1.3273260000000002E-2"/>
    <n v="6.6366300000000003E-2"/>
    <n v="3.4086849599999997E-2"/>
    <n v="0.17043424799999998"/>
    <n v="5"/>
  </r>
  <r>
    <x v="0"/>
    <n v="15"/>
    <x v="0"/>
    <x v="0"/>
    <x v="0"/>
    <n v="12"/>
    <n v="7"/>
    <n v="1.130976E-2"/>
    <n v="5.6548799999999996E-2"/>
    <n v="3.3915218400000002E-2"/>
    <n v="0.16957609200000001"/>
    <n v="5"/>
  </r>
  <r>
    <x v="0"/>
    <n v="16"/>
    <x v="0"/>
    <x v="0"/>
    <x v="0"/>
    <n v="16"/>
    <n v="9"/>
    <n v="2.0106240000000001E-2"/>
    <n v="0.1005312"/>
    <n v="7.0987557600000001E-2"/>
    <n v="0.35493778799999998"/>
    <n v="5"/>
  </r>
  <r>
    <x v="1"/>
    <n v="1"/>
    <x v="0"/>
    <x v="0"/>
    <x v="0"/>
    <n v="15"/>
    <n v="6"/>
    <n v="1.76715E-2"/>
    <n v="8.8357499999999992E-2"/>
    <n v="4.3698196799999992E-2"/>
    <n v="0.21849098399999994"/>
    <n v="5"/>
  </r>
  <r>
    <x v="1"/>
    <n v="2"/>
    <x v="0"/>
    <x v="0"/>
    <x v="0"/>
    <n v="13"/>
    <n v="7"/>
    <n v="1.3273260000000002E-2"/>
    <n v="6.6366300000000003E-2"/>
    <n v="3.8921128400000005E-2"/>
    <n v="0.19460564200000002"/>
    <n v="5"/>
  </r>
  <r>
    <x v="1"/>
    <n v="3"/>
    <x v="0"/>
    <x v="0"/>
    <x v="0"/>
    <n v="14"/>
    <n v="6"/>
    <n v="1.5393840000000002E-2"/>
    <n v="7.6969200000000002E-2"/>
    <n v="3.8720891999999993E-2"/>
    <n v="0.19360445999999995"/>
    <n v="5"/>
  </r>
  <r>
    <x v="1"/>
    <n v="4"/>
    <x v="0"/>
    <x v="0"/>
    <x v="0"/>
    <n v="17"/>
    <n v="7"/>
    <n v="2.2698060000000003E-2"/>
    <n v="0.1134903"/>
    <n v="6.2949496399999999E-2"/>
    <n v="0.31474748199999997"/>
    <n v="5"/>
  </r>
  <r>
    <x v="1"/>
    <n v="5"/>
    <x v="0"/>
    <x v="0"/>
    <x v="0"/>
    <n v="14"/>
    <n v="6"/>
    <n v="1.5393840000000002E-2"/>
    <n v="7.6969200000000002E-2"/>
    <n v="3.8720891999999993E-2"/>
    <n v="0.19360445999999995"/>
    <n v="5"/>
  </r>
  <r>
    <x v="1"/>
    <n v="6"/>
    <x v="0"/>
    <x v="0"/>
    <x v="0"/>
    <n v="15"/>
    <n v="7"/>
    <n v="1.76715E-2"/>
    <n v="8.8357499999999992E-2"/>
    <n v="5.0134366799999996E-2"/>
    <n v="0.25067183399999998"/>
    <n v="5"/>
  </r>
  <r>
    <x v="1"/>
    <n v="7"/>
    <x v="0"/>
    <x v="0"/>
    <x v="0"/>
    <n v="12"/>
    <n v="6"/>
    <n v="1.130976E-2"/>
    <n v="5.6548799999999996E-2"/>
    <n v="2.9796069599999999E-2"/>
    <n v="0.14898034799999998"/>
    <n v="5"/>
  </r>
  <r>
    <x v="1"/>
    <n v="8"/>
    <x v="0"/>
    <x v="0"/>
    <x v="0"/>
    <n v="18"/>
    <n v="7"/>
    <n v="2.5446959999999998E-2"/>
    <n v="0.12723479999999998"/>
    <n v="6.9957770399999994E-2"/>
    <n v="0.34978885199999993"/>
    <n v="5"/>
  </r>
  <r>
    <x v="1"/>
    <n v="9"/>
    <x v="0"/>
    <x v="0"/>
    <x v="0"/>
    <n v="13"/>
    <n v="8"/>
    <n v="1.3273260000000002E-2"/>
    <n v="6.6366300000000003E-2"/>
    <n v="4.3755407199999999E-2"/>
    <n v="0.21877703599999998"/>
    <n v="5"/>
  </r>
  <r>
    <x v="1"/>
    <n v="10"/>
    <x v="0"/>
    <x v="0"/>
    <x v="0"/>
    <n v="14"/>
    <n v="5"/>
    <n v="1.5393840000000002E-2"/>
    <n v="7.6969200000000002E-2"/>
    <n v="3.3114272799999997E-2"/>
    <n v="0.16557136399999997"/>
    <n v="5"/>
  </r>
  <r>
    <x v="1"/>
    <n v="11"/>
    <x v="0"/>
    <x v="0"/>
    <x v="0"/>
    <n v="13"/>
    <n v="8"/>
    <n v="1.3273260000000002E-2"/>
    <n v="6.6366300000000003E-2"/>
    <n v="4.3755407199999999E-2"/>
    <n v="0.21877703599999998"/>
    <n v="5"/>
  </r>
  <r>
    <x v="1"/>
    <n v="12"/>
    <x v="0"/>
    <x v="0"/>
    <x v="0"/>
    <n v="12"/>
    <n v="7"/>
    <n v="1.130976E-2"/>
    <n v="5.6548799999999996E-2"/>
    <n v="3.3915218400000002E-2"/>
    <n v="0.16957609200000001"/>
    <n v="5"/>
  </r>
  <r>
    <x v="1"/>
    <n v="13"/>
    <x v="0"/>
    <x v="0"/>
    <x v="0"/>
    <n v="17"/>
    <n v="8"/>
    <n v="2.2698060000000003E-2"/>
    <n v="0.1134903"/>
    <n v="7.1216399200000002E-2"/>
    <n v="0.35608199600000001"/>
    <n v="5"/>
  </r>
  <r>
    <x v="1"/>
    <n v="14"/>
    <x v="0"/>
    <x v="0"/>
    <x v="0"/>
    <n v="12"/>
    <n v="6"/>
    <n v="1.130976E-2"/>
    <n v="5.6548799999999996E-2"/>
    <n v="2.9796069599999999E-2"/>
    <n v="0.14898034799999998"/>
    <n v="5"/>
  </r>
  <r>
    <x v="1"/>
    <n v="15"/>
    <x v="0"/>
    <x v="0"/>
    <x v="0"/>
    <n v="14"/>
    <n v="6"/>
    <n v="1.5393840000000002E-2"/>
    <n v="7.6969200000000002E-2"/>
    <n v="3.8720891999999993E-2"/>
    <n v="0.19360445999999995"/>
    <n v="5"/>
  </r>
  <r>
    <x v="1"/>
    <n v="16"/>
    <x v="0"/>
    <x v="0"/>
    <x v="0"/>
    <n v="12"/>
    <n v="6"/>
    <n v="1.130976E-2"/>
    <n v="5.6548799999999996E-2"/>
    <n v="2.9796069599999999E-2"/>
    <n v="0.14898034799999998"/>
    <n v="5"/>
  </r>
  <r>
    <x v="1"/>
    <n v="17"/>
    <x v="0"/>
    <x v="0"/>
    <x v="0"/>
    <n v="15"/>
    <n v="6"/>
    <n v="1.76715E-2"/>
    <n v="8.8357499999999992E-2"/>
    <n v="4.3698196799999992E-2"/>
    <n v="0.21849098399999994"/>
    <n v="5"/>
  </r>
  <r>
    <x v="1"/>
    <n v="18"/>
    <x v="0"/>
    <x v="0"/>
    <x v="0"/>
    <n v="10"/>
    <n v="4"/>
    <n v="7.8540000000000016E-3"/>
    <n v="3.9270000000000006E-2"/>
    <n v="1.6523256799999997E-2"/>
    <n v="8.2616283999999984E-2"/>
    <n v="5"/>
  </r>
  <r>
    <x v="1"/>
    <n v="19"/>
    <x v="0"/>
    <x v="0"/>
    <x v="0"/>
    <n v="14"/>
    <n v="6"/>
    <n v="1.5393840000000002E-2"/>
    <n v="7.6969200000000002E-2"/>
    <n v="3.8720891999999993E-2"/>
    <n v="0.19360445999999995"/>
    <n v="5"/>
  </r>
  <r>
    <x v="1"/>
    <n v="20"/>
    <x v="0"/>
    <x v="0"/>
    <x v="0"/>
    <n v="15"/>
    <n v="6"/>
    <n v="1.76715E-2"/>
    <n v="8.8357499999999992E-2"/>
    <n v="4.3698196799999992E-2"/>
    <n v="0.21849098399999994"/>
    <n v="5"/>
  </r>
  <r>
    <x v="1"/>
    <n v="21"/>
    <x v="0"/>
    <x v="0"/>
    <x v="0"/>
    <n v="13"/>
    <n v="5"/>
    <n v="1.3273260000000002E-2"/>
    <n v="6.6366300000000003E-2"/>
    <n v="2.9252570799999999E-2"/>
    <n v="0.146262854"/>
    <n v="5"/>
  </r>
  <r>
    <x v="2"/>
    <n v="1"/>
    <x v="0"/>
    <x v="0"/>
    <x v="1"/>
    <n v="20"/>
    <n v="8"/>
    <n v="3.1416000000000006E-2"/>
    <n v="0.15708000000000003"/>
    <n v="9.6617816799999992E-2"/>
    <n v="0.48308908399999995"/>
    <n v="5"/>
  </r>
  <r>
    <x v="2"/>
    <n v="2"/>
    <x v="0"/>
    <x v="0"/>
    <x v="0"/>
    <n v="19"/>
    <n v="7"/>
    <n v="2.835294E-2"/>
    <n v="0.14176469999999999"/>
    <n v="7.7366517199999998E-2"/>
    <n v="0.38683258599999998"/>
    <n v="5"/>
  </r>
  <r>
    <x v="2"/>
    <n v="3"/>
    <x v="0"/>
    <x v="0"/>
    <x v="0"/>
    <n v="18"/>
    <n v="7"/>
    <n v="2.5446959999999998E-2"/>
    <n v="0.12723479999999998"/>
    <n v="6.9957770399999994E-2"/>
    <n v="0.34978885199999993"/>
    <n v="5"/>
  </r>
  <r>
    <x v="2"/>
    <n v="4"/>
    <x v="0"/>
    <x v="0"/>
    <x v="1"/>
    <n v="20"/>
    <n v="12"/>
    <n v="3.1416000000000006E-2"/>
    <n v="0.15708000000000003"/>
    <n v="0.14238613680000001"/>
    <n v="0.71193068400000004"/>
    <n v="5"/>
  </r>
  <r>
    <x v="2"/>
    <n v="5"/>
    <x v="0"/>
    <x v="0"/>
    <x v="0"/>
    <n v="18"/>
    <n v="9"/>
    <n v="2.5446959999999998E-2"/>
    <n v="0.12723479999999998"/>
    <n v="8.8493939999999993E-2"/>
    <n v="0.44246969999999997"/>
    <n v="5"/>
  </r>
  <r>
    <x v="2"/>
    <n v="6"/>
    <x v="0"/>
    <x v="0"/>
    <x v="0"/>
    <n v="15"/>
    <n v="6"/>
    <n v="1.76715E-2"/>
    <n v="8.8357499999999992E-2"/>
    <n v="4.3698196799999992E-2"/>
    <n v="0.21849098399999994"/>
    <n v="5"/>
  </r>
  <r>
    <x v="2"/>
    <n v="7"/>
    <x v="0"/>
    <x v="0"/>
    <x v="0"/>
    <n v="18"/>
    <n v="7"/>
    <n v="2.5446959999999998E-2"/>
    <n v="0.12723479999999998"/>
    <n v="6.9957770399999994E-2"/>
    <n v="0.34978885199999993"/>
    <n v="5"/>
  </r>
  <r>
    <x v="2"/>
    <n v="8"/>
    <x v="0"/>
    <x v="0"/>
    <x v="0"/>
    <n v="12"/>
    <n v="7"/>
    <n v="1.130976E-2"/>
    <n v="5.6548799999999996E-2"/>
    <n v="3.3915218400000002E-2"/>
    <n v="0.16957609200000001"/>
    <n v="5"/>
  </r>
  <r>
    <x v="2"/>
    <n v="9"/>
    <x v="0"/>
    <x v="0"/>
    <x v="0"/>
    <n v="14"/>
    <n v="7"/>
    <n v="1.5393840000000002E-2"/>
    <n v="7.6969200000000002E-2"/>
    <n v="4.4327511200000003E-2"/>
    <n v="0.22163755600000001"/>
    <n v="5"/>
  </r>
  <r>
    <x v="2"/>
    <n v="10"/>
    <x v="0"/>
    <x v="0"/>
    <x v="0"/>
    <n v="12"/>
    <n v="7"/>
    <n v="1.130976E-2"/>
    <n v="5.6548799999999996E-2"/>
    <n v="3.3915218400000002E-2"/>
    <n v="0.16957609200000001"/>
    <n v="5"/>
  </r>
  <r>
    <x v="2"/>
    <n v="11"/>
    <x v="0"/>
    <x v="0"/>
    <x v="0"/>
    <n v="15"/>
    <n v="7"/>
    <n v="1.76715E-2"/>
    <n v="8.8357499999999992E-2"/>
    <n v="5.0134366799999996E-2"/>
    <n v="0.25067183399999998"/>
    <n v="5"/>
  </r>
  <r>
    <x v="2"/>
    <n v="12"/>
    <x v="0"/>
    <x v="0"/>
    <x v="0"/>
    <n v="13"/>
    <n v="7"/>
    <n v="1.3273260000000002E-2"/>
    <n v="6.6366300000000003E-2"/>
    <n v="3.8921128400000005E-2"/>
    <n v="0.19460564200000002"/>
    <n v="5"/>
  </r>
  <r>
    <x v="2"/>
    <n v="13"/>
    <x v="0"/>
    <x v="0"/>
    <x v="0"/>
    <n v="16"/>
    <n v="7"/>
    <n v="2.0106240000000001E-2"/>
    <n v="0.1005312"/>
    <n v="5.63416952E-2"/>
    <n v="0.28170847599999999"/>
    <n v="5"/>
  </r>
  <r>
    <x v="2"/>
    <n v="14"/>
    <x v="0"/>
    <x v="0"/>
    <x v="0"/>
    <n v="12"/>
    <n v="6"/>
    <n v="1.130976E-2"/>
    <n v="5.6548799999999996E-2"/>
    <n v="2.9796069599999999E-2"/>
    <n v="0.14898034799999998"/>
    <n v="5"/>
  </r>
  <r>
    <x v="2"/>
    <n v="15"/>
    <x v="0"/>
    <x v="0"/>
    <x v="0"/>
    <n v="10"/>
    <n v="6"/>
    <n v="7.8540000000000016E-3"/>
    <n v="3.9270000000000006E-2"/>
    <n v="2.22442968E-2"/>
    <n v="0.111221484"/>
    <n v="5"/>
  </r>
  <r>
    <x v="3"/>
    <n v="1"/>
    <x v="0"/>
    <x v="0"/>
    <x v="0"/>
    <n v="13"/>
    <n v="6"/>
    <n v="1.3273260000000002E-2"/>
    <n v="6.6366300000000003E-2"/>
    <n v="3.4086849599999997E-2"/>
    <n v="0.17043424799999998"/>
    <n v="5"/>
  </r>
  <r>
    <x v="3"/>
    <n v="2"/>
    <x v="0"/>
    <x v="0"/>
    <x v="0"/>
    <n v="12"/>
    <n v="5"/>
    <n v="1.130976E-2"/>
    <n v="5.6548799999999996E-2"/>
    <n v="2.5676920799999999E-2"/>
    <n v="0.12838460399999999"/>
    <n v="5"/>
  </r>
  <r>
    <x v="3"/>
    <n v="3"/>
    <x v="0"/>
    <x v="0"/>
    <x v="0"/>
    <n v="15"/>
    <n v="6"/>
    <n v="1.76715E-2"/>
    <n v="8.8357499999999992E-2"/>
    <n v="4.3698196799999992E-2"/>
    <n v="0.21849098399999994"/>
    <n v="5"/>
  </r>
  <r>
    <x v="3"/>
    <n v="4"/>
    <x v="0"/>
    <x v="0"/>
    <x v="0"/>
    <n v="12"/>
    <n v="5"/>
    <n v="1.130976E-2"/>
    <n v="5.6548799999999996E-2"/>
    <n v="2.5676920799999999E-2"/>
    <n v="0.12838460399999999"/>
    <n v="5"/>
  </r>
  <r>
    <x v="3"/>
    <n v="5"/>
    <x v="0"/>
    <x v="0"/>
    <x v="0"/>
    <n v="13"/>
    <n v="6"/>
    <n v="1.3273260000000002E-2"/>
    <n v="6.6366300000000003E-2"/>
    <n v="3.4086849599999997E-2"/>
    <n v="0.17043424799999998"/>
    <n v="5"/>
  </r>
  <r>
    <x v="3"/>
    <n v="6"/>
    <x v="0"/>
    <x v="0"/>
    <x v="0"/>
    <n v="12"/>
    <n v="5"/>
    <n v="1.130976E-2"/>
    <n v="5.6548799999999996E-2"/>
    <n v="2.5676920799999999E-2"/>
    <n v="0.12838460399999999"/>
    <n v="5"/>
  </r>
  <r>
    <x v="3"/>
    <n v="7"/>
    <x v="0"/>
    <x v="0"/>
    <x v="0"/>
    <n v="10"/>
    <n v="4"/>
    <n v="7.8540000000000016E-3"/>
    <n v="3.9270000000000006E-2"/>
    <n v="1.6523256799999997E-2"/>
    <n v="8.2616283999999984E-2"/>
    <n v="5"/>
  </r>
  <r>
    <x v="3"/>
    <n v="8"/>
    <x v="0"/>
    <x v="0"/>
    <x v="0"/>
    <n v="13"/>
    <n v="7"/>
    <n v="1.3273260000000002E-2"/>
    <n v="6.6366300000000003E-2"/>
    <n v="3.8921128400000005E-2"/>
    <n v="0.19460564200000002"/>
    <n v="5"/>
  </r>
  <r>
    <x v="3"/>
    <n v="9"/>
    <x v="0"/>
    <x v="0"/>
    <x v="0"/>
    <n v="14"/>
    <n v="8"/>
    <n v="1.5393840000000002E-2"/>
    <n v="7.6969200000000002E-2"/>
    <n v="4.9934130399999999E-2"/>
    <n v="0.24967065199999999"/>
    <n v="5"/>
  </r>
  <r>
    <x v="3"/>
    <n v="10"/>
    <x v="0"/>
    <x v="0"/>
    <x v="0"/>
    <n v="13"/>
    <n v="6"/>
    <n v="1.3273260000000002E-2"/>
    <n v="6.6366300000000003E-2"/>
    <n v="3.4086849599999997E-2"/>
    <n v="0.17043424799999998"/>
    <n v="5"/>
  </r>
  <r>
    <x v="3"/>
    <n v="11"/>
    <x v="0"/>
    <x v="0"/>
    <x v="0"/>
    <n v="12"/>
    <n v="5"/>
    <n v="1.130976E-2"/>
    <n v="5.6548799999999996E-2"/>
    <n v="2.5676920799999999E-2"/>
    <n v="0.12838460399999999"/>
    <n v="5"/>
  </r>
  <r>
    <x v="3"/>
    <n v="12"/>
    <x v="0"/>
    <x v="0"/>
    <x v="0"/>
    <n v="12"/>
    <n v="4"/>
    <n v="1.130976E-2"/>
    <n v="5.6548799999999996E-2"/>
    <n v="2.1557771999999999E-2"/>
    <n v="0.10778885999999999"/>
    <n v="5"/>
  </r>
  <r>
    <x v="3"/>
    <n v="13"/>
    <x v="0"/>
    <x v="0"/>
    <x v="0"/>
    <n v="14"/>
    <n v="6"/>
    <n v="1.5393840000000002E-2"/>
    <n v="7.6969200000000002E-2"/>
    <n v="3.8720891999999993E-2"/>
    <n v="0.19360445999999995"/>
    <n v="5"/>
  </r>
  <r>
    <x v="3"/>
    <n v="14"/>
    <x v="0"/>
    <x v="0"/>
    <x v="1"/>
    <n v="20"/>
    <n v="10"/>
    <n v="3.1416000000000006E-2"/>
    <n v="0.15708000000000003"/>
    <n v="0.11950197679999999"/>
    <n v="0.59750988399999994"/>
    <n v="5"/>
  </r>
  <r>
    <x v="3"/>
    <n v="15"/>
    <x v="0"/>
    <x v="0"/>
    <x v="1"/>
    <n v="20"/>
    <n v="9"/>
    <n v="3.1416000000000006E-2"/>
    <n v="0.15708000000000003"/>
    <n v="0.1080598968"/>
    <n v="0.54029948399999994"/>
    <n v="5"/>
  </r>
  <r>
    <x v="3"/>
    <n v="16"/>
    <x v="0"/>
    <x v="0"/>
    <x v="0"/>
    <n v="14"/>
    <n v="5"/>
    <n v="1.5393840000000002E-2"/>
    <n v="7.6969200000000002E-2"/>
    <n v="3.3114272799999997E-2"/>
    <n v="0.16557136399999997"/>
    <n v="5"/>
  </r>
  <r>
    <x v="3"/>
    <n v="17"/>
    <x v="0"/>
    <x v="0"/>
    <x v="0"/>
    <n v="14"/>
    <n v="6"/>
    <n v="1.5393840000000002E-2"/>
    <n v="7.6969200000000002E-2"/>
    <n v="3.8720891999999993E-2"/>
    <n v="0.19360445999999995"/>
    <n v="5"/>
  </r>
  <r>
    <x v="3"/>
    <n v="18"/>
    <x v="0"/>
    <x v="0"/>
    <x v="0"/>
    <n v="13"/>
    <n v="5"/>
    <n v="1.3273260000000002E-2"/>
    <n v="6.6366300000000003E-2"/>
    <n v="2.9252570799999999E-2"/>
    <n v="0.146262854"/>
    <n v="5"/>
  </r>
  <r>
    <x v="3"/>
    <n v="19"/>
    <x v="0"/>
    <x v="0"/>
    <x v="0"/>
    <n v="12"/>
    <n v="5"/>
    <n v="1.130976E-2"/>
    <n v="5.6548799999999996E-2"/>
    <n v="2.5676920799999999E-2"/>
    <n v="0.12838460399999999"/>
    <n v="5"/>
  </r>
  <r>
    <x v="3"/>
    <n v="20"/>
    <x v="0"/>
    <x v="0"/>
    <x v="0"/>
    <n v="12"/>
    <n v="5"/>
    <n v="1.130976E-2"/>
    <n v="5.6548799999999996E-2"/>
    <n v="2.5676920799999999E-2"/>
    <n v="0.12838460399999999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6" firstHeaderRow="1" firstDataRow="1" firstDataCol="1"/>
  <pivotFields count="12">
    <pivotField showAll="0"/>
    <pivotField dataField="1" showAll="0"/>
    <pivotField axis="axisRow" showAll="0">
      <items count="3">
        <item x="0"/>
        <item m="1" x="1"/>
        <item t="default"/>
      </items>
    </pivotField>
    <pivotField axis="axisRow" showAll="0">
      <items count="3">
        <item x="0"/>
        <item m="1" x="1"/>
        <item t="default"/>
      </items>
    </pivotField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</pivotFields>
  <rowFields count="2">
    <field x="3"/>
    <field x="2"/>
  </rowFields>
  <rowItems count="3">
    <i>
      <x/>
    </i>
    <i r="1">
      <x/>
    </i>
    <i t="grand">
      <x/>
    </i>
  </rowItems>
  <colItems count="1">
    <i/>
  </colItems>
  <dataFields count="1">
    <dataField name="Cuenta de No. Arbol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3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F6" firstHeaderRow="1" firstDataRow="2" firstDataCol="1"/>
  <pivotFields count="12">
    <pivotField showAll="0"/>
    <pivotField showAll="0"/>
    <pivotField showAll="0"/>
    <pivotField axis="axisRow" showAll="0">
      <items count="3">
        <item x="0"/>
        <item m="1" x="1"/>
        <item t="default"/>
      </items>
    </pivotField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1">
    <field x="3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2"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3" cacheId="3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No. De Parcela">
  <location ref="A3:F9" firstHeaderRow="1" firstDataRow="2" firstDataCol="1"/>
  <pivotFields count="12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21">
    <format dxfId="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5">
      <pivotArea outline="0" collapsedLevelsAreSubtotals="1" fieldPosition="0"/>
    </format>
    <format dxfId="34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0">
      <pivotArea outline="0" collapsedLevelsAreSubtotals="1" fieldPosition="0"/>
    </format>
    <format dxfId="29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0">
      <pivotArea field="0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4" cacheId="3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Especie y Clase Diametrica">
  <location ref="A3:F8" firstHeaderRow="1" firstDataRow="2" firstDataCol="1"/>
  <pivotFields count="12">
    <pivotField showAll="0"/>
    <pivotField showAll="0"/>
    <pivotField showAll="0"/>
    <pivotField axis="axisRow" showAll="0">
      <items count="3">
        <item x="0"/>
        <item m="1"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2">
    <field x="3"/>
    <field x="4"/>
  </rowFields>
  <rowItems count="4">
    <i>
      <x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17"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4">
      <pivotArea field="3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">
      <pivotArea field="3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outline="0" collapsedLevelsAreSubtotals="1" fieldPosition="0"/>
    </format>
    <format dxfId="0">
      <pivotArea field="3" grandRow="1" outline="0" collapsedLevelsAreSubtotals="1" axis="axisRow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78" zoomScaleNormal="78" workbookViewId="0">
      <selection activeCell="A2" sqref="A2"/>
    </sheetView>
  </sheetViews>
  <sheetFormatPr baseColWidth="10" defaultColWidth="11.42578125" defaultRowHeight="15" x14ac:dyDescent="0.25"/>
  <cols>
    <col min="1" max="1" width="9.140625" customWidth="1"/>
    <col min="2" max="2" width="9.5703125" customWidth="1"/>
    <col min="3" max="3" width="13" customWidth="1"/>
    <col min="4" max="4" width="24.140625" customWidth="1"/>
  </cols>
  <sheetData>
    <row r="1" spans="1:15" ht="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62" t="s">
        <v>56</v>
      </c>
    </row>
    <row r="2" spans="1:15" x14ac:dyDescent="0.25">
      <c r="A2">
        <v>1</v>
      </c>
      <c r="B2">
        <v>1</v>
      </c>
      <c r="C2" s="1" t="s">
        <v>52</v>
      </c>
      <c r="D2" s="1" t="s">
        <v>55</v>
      </c>
      <c r="E2" s="1" t="s">
        <v>53</v>
      </c>
      <c r="F2">
        <v>16</v>
      </c>
      <c r="G2">
        <v>6</v>
      </c>
      <c r="H2" s="3">
        <f t="shared" ref="H2:H3" si="0">0.7854*(F2/100)^2</f>
        <v>2.0106240000000001E-2</v>
      </c>
      <c r="I2" s="4">
        <f>H2*1/$O$3</f>
        <v>0.1005312</v>
      </c>
      <c r="J2" s="3">
        <f>(0.0050811768+0.0000286052*(F2^2*G2))</f>
        <v>4.9018763999999992E-2</v>
      </c>
      <c r="K2" s="4">
        <f>J2/$O$3</f>
        <v>0.24509381999999996</v>
      </c>
      <c r="L2" s="4">
        <f>1*1/$O$3</f>
        <v>5</v>
      </c>
      <c r="N2" s="63" t="s">
        <v>58</v>
      </c>
      <c r="O2" s="63" t="s">
        <v>57</v>
      </c>
    </row>
    <row r="3" spans="1:15" x14ac:dyDescent="0.25">
      <c r="A3">
        <v>1</v>
      </c>
      <c r="B3">
        <v>2</v>
      </c>
      <c r="C3" s="1" t="s">
        <v>52</v>
      </c>
      <c r="D3" s="1" t="s">
        <v>55</v>
      </c>
      <c r="E3" s="1" t="s">
        <v>53</v>
      </c>
      <c r="F3" s="1">
        <v>14</v>
      </c>
      <c r="G3">
        <v>5</v>
      </c>
      <c r="H3" s="3">
        <f t="shared" si="0"/>
        <v>1.5393840000000002E-2</v>
      </c>
      <c r="I3" s="4">
        <f t="shared" ref="I3:I66" si="1">H3*1/$O$3</f>
        <v>7.6969200000000002E-2</v>
      </c>
      <c r="J3" s="3">
        <f t="shared" ref="J3:J66" si="2">(0.0050811768+0.0000286052*(F3^2*G3))</f>
        <v>3.3114272799999997E-2</v>
      </c>
      <c r="K3" s="4">
        <f t="shared" ref="K3:K66" si="3">J3/$O$3</f>
        <v>0.16557136399999997</v>
      </c>
      <c r="L3" s="4">
        <f t="shared" ref="L3:L66" si="4">1*1/$O$3</f>
        <v>5</v>
      </c>
      <c r="N3" s="65">
        <v>2000</v>
      </c>
      <c r="O3" s="64">
        <f>N3/10000</f>
        <v>0.2</v>
      </c>
    </row>
    <row r="4" spans="1:15" x14ac:dyDescent="0.25">
      <c r="A4" s="1">
        <v>1</v>
      </c>
      <c r="B4" s="1">
        <v>3</v>
      </c>
      <c r="C4" s="1" t="s">
        <v>52</v>
      </c>
      <c r="D4" s="1" t="s">
        <v>55</v>
      </c>
      <c r="E4" s="1" t="s">
        <v>53</v>
      </c>
      <c r="F4" s="1">
        <v>12</v>
      </c>
      <c r="G4">
        <v>6</v>
      </c>
      <c r="H4" s="3">
        <f t="shared" ref="H4:H53" si="5">0.7854*(F4/100)^2</f>
        <v>1.130976E-2</v>
      </c>
      <c r="I4" s="4">
        <f t="shared" si="1"/>
        <v>5.6548799999999996E-2</v>
      </c>
      <c r="J4" s="3">
        <f t="shared" si="2"/>
        <v>2.9796069599999999E-2</v>
      </c>
      <c r="K4" s="4">
        <f t="shared" si="3"/>
        <v>0.14898034799999998</v>
      </c>
      <c r="L4" s="4">
        <f t="shared" si="4"/>
        <v>5</v>
      </c>
    </row>
    <row r="5" spans="1:15" x14ac:dyDescent="0.25">
      <c r="A5" s="1">
        <v>1</v>
      </c>
      <c r="B5" s="1">
        <v>4</v>
      </c>
      <c r="C5" s="1" t="s">
        <v>52</v>
      </c>
      <c r="D5" s="1" t="s">
        <v>55</v>
      </c>
      <c r="E5" s="1" t="s">
        <v>53</v>
      </c>
      <c r="F5" s="1">
        <v>17</v>
      </c>
      <c r="G5">
        <v>7</v>
      </c>
      <c r="H5" s="3">
        <f t="shared" si="5"/>
        <v>2.2698060000000003E-2</v>
      </c>
      <c r="I5" s="4">
        <f t="shared" si="1"/>
        <v>0.1134903</v>
      </c>
      <c r="J5" s="3">
        <f t="shared" si="2"/>
        <v>6.2949496399999999E-2</v>
      </c>
      <c r="K5" s="4">
        <f t="shared" si="3"/>
        <v>0.31474748199999997</v>
      </c>
      <c r="L5" s="4">
        <f t="shared" si="4"/>
        <v>5</v>
      </c>
    </row>
    <row r="6" spans="1:15" x14ac:dyDescent="0.25">
      <c r="A6" s="1">
        <v>1</v>
      </c>
      <c r="B6" s="1">
        <v>5</v>
      </c>
      <c r="C6" s="1" t="s">
        <v>52</v>
      </c>
      <c r="D6" s="1" t="s">
        <v>55</v>
      </c>
      <c r="E6" s="1" t="s">
        <v>53</v>
      </c>
      <c r="F6" s="1">
        <v>15</v>
      </c>
      <c r="G6">
        <v>5</v>
      </c>
      <c r="H6" s="3">
        <f t="shared" si="5"/>
        <v>1.76715E-2</v>
      </c>
      <c r="I6" s="4">
        <f t="shared" si="1"/>
        <v>8.8357499999999992E-2</v>
      </c>
      <c r="J6" s="3">
        <f t="shared" si="2"/>
        <v>3.72620268E-2</v>
      </c>
      <c r="K6" s="4">
        <f t="shared" si="3"/>
        <v>0.18631013399999999</v>
      </c>
      <c r="L6" s="4">
        <f t="shared" si="4"/>
        <v>5</v>
      </c>
    </row>
    <row r="7" spans="1:15" x14ac:dyDescent="0.25">
      <c r="A7" s="1">
        <v>1</v>
      </c>
      <c r="B7" s="1">
        <v>6</v>
      </c>
      <c r="C7" s="1" t="s">
        <v>52</v>
      </c>
      <c r="D7" s="1" t="s">
        <v>55</v>
      </c>
      <c r="E7" s="1" t="s">
        <v>53</v>
      </c>
      <c r="F7" s="1">
        <v>18</v>
      </c>
      <c r="G7">
        <v>6</v>
      </c>
      <c r="H7" s="3">
        <f t="shared" si="5"/>
        <v>2.5446959999999998E-2</v>
      </c>
      <c r="I7" s="4">
        <f t="shared" si="1"/>
        <v>0.12723479999999998</v>
      </c>
      <c r="J7" s="3">
        <f t="shared" si="2"/>
        <v>6.0689685600000001E-2</v>
      </c>
      <c r="K7" s="4">
        <f t="shared" si="3"/>
        <v>0.30344842799999999</v>
      </c>
      <c r="L7" s="4">
        <f t="shared" si="4"/>
        <v>5</v>
      </c>
    </row>
    <row r="8" spans="1:15" x14ac:dyDescent="0.25">
      <c r="A8" s="1">
        <v>1</v>
      </c>
      <c r="B8" s="1">
        <v>7</v>
      </c>
      <c r="C8" s="1" t="s">
        <v>52</v>
      </c>
      <c r="D8" s="1" t="s">
        <v>55</v>
      </c>
      <c r="E8" s="1" t="s">
        <v>53</v>
      </c>
      <c r="F8" s="1">
        <v>19</v>
      </c>
      <c r="G8">
        <v>9</v>
      </c>
      <c r="H8" s="3">
        <f t="shared" si="5"/>
        <v>2.835294E-2</v>
      </c>
      <c r="I8" s="4">
        <f t="shared" si="1"/>
        <v>0.14176469999999999</v>
      </c>
      <c r="J8" s="3">
        <f t="shared" si="2"/>
        <v>9.8019471600000005E-2</v>
      </c>
      <c r="K8" s="4">
        <f t="shared" si="3"/>
        <v>0.49009735799999998</v>
      </c>
      <c r="L8" s="4">
        <f t="shared" si="4"/>
        <v>5</v>
      </c>
    </row>
    <row r="9" spans="1:15" x14ac:dyDescent="0.25">
      <c r="A9" s="1">
        <v>1</v>
      </c>
      <c r="B9" s="1">
        <v>8</v>
      </c>
      <c r="C9" s="1" t="s">
        <v>52</v>
      </c>
      <c r="D9" s="1" t="s">
        <v>55</v>
      </c>
      <c r="E9" s="1" t="s">
        <v>53</v>
      </c>
      <c r="F9" s="1">
        <v>18</v>
      </c>
      <c r="G9">
        <v>10</v>
      </c>
      <c r="H9" s="3">
        <f t="shared" si="5"/>
        <v>2.5446959999999998E-2</v>
      </c>
      <c r="I9" s="4">
        <f t="shared" si="1"/>
        <v>0.12723479999999998</v>
      </c>
      <c r="J9" s="3">
        <f t="shared" si="2"/>
        <v>9.77620248E-2</v>
      </c>
      <c r="K9" s="4">
        <f t="shared" si="3"/>
        <v>0.48881012399999996</v>
      </c>
      <c r="L9" s="4">
        <f t="shared" si="4"/>
        <v>5</v>
      </c>
    </row>
    <row r="10" spans="1:15" x14ac:dyDescent="0.25">
      <c r="A10" s="1">
        <v>1</v>
      </c>
      <c r="B10" s="1">
        <v>9</v>
      </c>
      <c r="C10" s="1" t="s">
        <v>52</v>
      </c>
      <c r="D10" s="1" t="s">
        <v>55</v>
      </c>
      <c r="E10" s="1" t="s">
        <v>53</v>
      </c>
      <c r="F10" s="1">
        <v>14</v>
      </c>
      <c r="G10">
        <v>7</v>
      </c>
      <c r="H10" s="3">
        <f t="shared" si="5"/>
        <v>1.5393840000000002E-2</v>
      </c>
      <c r="I10" s="4">
        <f t="shared" si="1"/>
        <v>7.6969200000000002E-2</v>
      </c>
      <c r="J10" s="3">
        <f t="shared" si="2"/>
        <v>4.4327511200000003E-2</v>
      </c>
      <c r="K10" s="4">
        <f t="shared" si="3"/>
        <v>0.22163755600000001</v>
      </c>
      <c r="L10" s="4">
        <f t="shared" si="4"/>
        <v>5</v>
      </c>
    </row>
    <row r="11" spans="1:15" x14ac:dyDescent="0.25">
      <c r="A11" s="1">
        <v>1</v>
      </c>
      <c r="B11" s="1">
        <v>10</v>
      </c>
      <c r="C11" s="1" t="s">
        <v>52</v>
      </c>
      <c r="D11" s="1" t="s">
        <v>55</v>
      </c>
      <c r="E11" s="1" t="s">
        <v>53</v>
      </c>
      <c r="F11" s="1">
        <v>14</v>
      </c>
      <c r="G11">
        <v>7</v>
      </c>
      <c r="H11" s="3">
        <f t="shared" si="5"/>
        <v>1.5393840000000002E-2</v>
      </c>
      <c r="I11" s="4">
        <f t="shared" si="1"/>
        <v>7.6969200000000002E-2</v>
      </c>
      <c r="J11" s="3">
        <f t="shared" si="2"/>
        <v>4.4327511200000003E-2</v>
      </c>
      <c r="K11" s="4">
        <f t="shared" si="3"/>
        <v>0.22163755600000001</v>
      </c>
      <c r="L11" s="4">
        <f t="shared" si="4"/>
        <v>5</v>
      </c>
    </row>
    <row r="12" spans="1:15" x14ac:dyDescent="0.25">
      <c r="A12" s="1">
        <v>1</v>
      </c>
      <c r="B12" s="1">
        <v>11</v>
      </c>
      <c r="C12" s="1" t="s">
        <v>52</v>
      </c>
      <c r="D12" s="1" t="s">
        <v>55</v>
      </c>
      <c r="E12" s="1" t="s">
        <v>53</v>
      </c>
      <c r="F12" s="1">
        <v>18</v>
      </c>
      <c r="G12">
        <v>7</v>
      </c>
      <c r="H12" s="3">
        <f t="shared" si="5"/>
        <v>2.5446959999999998E-2</v>
      </c>
      <c r="I12" s="4">
        <f t="shared" si="1"/>
        <v>0.12723479999999998</v>
      </c>
      <c r="J12" s="3">
        <f t="shared" si="2"/>
        <v>6.9957770399999994E-2</v>
      </c>
      <c r="K12" s="4">
        <f t="shared" si="3"/>
        <v>0.34978885199999993</v>
      </c>
      <c r="L12" s="4">
        <f t="shared" si="4"/>
        <v>5</v>
      </c>
    </row>
    <row r="13" spans="1:15" x14ac:dyDescent="0.25">
      <c r="A13" s="1">
        <v>1</v>
      </c>
      <c r="B13" s="1">
        <v>12</v>
      </c>
      <c r="C13" s="1" t="s">
        <v>52</v>
      </c>
      <c r="D13" s="1" t="s">
        <v>55</v>
      </c>
      <c r="E13" s="1" t="s">
        <v>53</v>
      </c>
      <c r="F13" s="1">
        <v>19</v>
      </c>
      <c r="G13">
        <v>8</v>
      </c>
      <c r="H13" s="3">
        <f t="shared" si="5"/>
        <v>2.835294E-2</v>
      </c>
      <c r="I13" s="4">
        <f t="shared" si="1"/>
        <v>0.14176469999999999</v>
      </c>
      <c r="J13" s="3">
        <f t="shared" si="2"/>
        <v>8.7692994400000002E-2</v>
      </c>
      <c r="K13" s="4">
        <f t="shared" si="3"/>
        <v>0.43846497200000001</v>
      </c>
      <c r="L13" s="4">
        <f t="shared" si="4"/>
        <v>5</v>
      </c>
    </row>
    <row r="14" spans="1:15" x14ac:dyDescent="0.25">
      <c r="A14" s="1">
        <v>1</v>
      </c>
      <c r="B14" s="1">
        <v>13</v>
      </c>
      <c r="C14" s="1" t="s">
        <v>52</v>
      </c>
      <c r="D14" s="1" t="s">
        <v>55</v>
      </c>
      <c r="E14" s="1" t="s">
        <v>53</v>
      </c>
      <c r="F14" s="1">
        <v>12</v>
      </c>
      <c r="G14">
        <v>5</v>
      </c>
      <c r="H14" s="3">
        <f t="shared" si="5"/>
        <v>1.130976E-2</v>
      </c>
      <c r="I14" s="4">
        <f t="shared" si="1"/>
        <v>5.6548799999999996E-2</v>
      </c>
      <c r="J14" s="3">
        <f t="shared" si="2"/>
        <v>2.5676920799999999E-2</v>
      </c>
      <c r="K14" s="4">
        <f t="shared" si="3"/>
        <v>0.12838460399999999</v>
      </c>
      <c r="L14" s="4">
        <f t="shared" si="4"/>
        <v>5</v>
      </c>
    </row>
    <row r="15" spans="1:15" x14ac:dyDescent="0.25">
      <c r="A15" s="1">
        <v>1</v>
      </c>
      <c r="B15" s="1">
        <v>14</v>
      </c>
      <c r="C15" s="1" t="s">
        <v>52</v>
      </c>
      <c r="D15" s="1" t="s">
        <v>55</v>
      </c>
      <c r="E15" s="1" t="s">
        <v>53</v>
      </c>
      <c r="F15" s="1">
        <v>13</v>
      </c>
      <c r="G15">
        <v>6</v>
      </c>
      <c r="H15" s="3">
        <f t="shared" si="5"/>
        <v>1.3273260000000002E-2</v>
      </c>
      <c r="I15" s="4">
        <f t="shared" si="1"/>
        <v>6.6366300000000003E-2</v>
      </c>
      <c r="J15" s="3">
        <f t="shared" si="2"/>
        <v>3.4086849599999997E-2</v>
      </c>
      <c r="K15" s="4">
        <f t="shared" si="3"/>
        <v>0.17043424799999998</v>
      </c>
      <c r="L15" s="4">
        <f t="shared" si="4"/>
        <v>5</v>
      </c>
    </row>
    <row r="16" spans="1:15" x14ac:dyDescent="0.25">
      <c r="A16" s="1">
        <v>1</v>
      </c>
      <c r="B16" s="1">
        <v>15</v>
      </c>
      <c r="C16" s="1" t="s">
        <v>52</v>
      </c>
      <c r="D16" s="1" t="s">
        <v>55</v>
      </c>
      <c r="E16" s="1" t="s">
        <v>53</v>
      </c>
      <c r="F16" s="1">
        <v>12</v>
      </c>
      <c r="G16">
        <v>7</v>
      </c>
      <c r="H16" s="3">
        <f t="shared" si="5"/>
        <v>1.130976E-2</v>
      </c>
      <c r="I16" s="4">
        <f t="shared" si="1"/>
        <v>5.6548799999999996E-2</v>
      </c>
      <c r="J16" s="3">
        <f t="shared" si="2"/>
        <v>3.3915218400000002E-2</v>
      </c>
      <c r="K16" s="4">
        <f t="shared" si="3"/>
        <v>0.16957609200000001</v>
      </c>
      <c r="L16" s="4">
        <f t="shared" si="4"/>
        <v>5</v>
      </c>
    </row>
    <row r="17" spans="1:12" x14ac:dyDescent="0.25">
      <c r="A17" s="1">
        <v>1</v>
      </c>
      <c r="B17" s="1">
        <v>16</v>
      </c>
      <c r="C17" s="1" t="s">
        <v>52</v>
      </c>
      <c r="D17" s="1" t="s">
        <v>55</v>
      </c>
      <c r="E17" s="1" t="s">
        <v>53</v>
      </c>
      <c r="F17" s="1">
        <v>16</v>
      </c>
      <c r="G17">
        <v>9</v>
      </c>
      <c r="H17" s="3">
        <f t="shared" si="5"/>
        <v>2.0106240000000001E-2</v>
      </c>
      <c r="I17" s="4">
        <f t="shared" si="1"/>
        <v>0.1005312</v>
      </c>
      <c r="J17" s="3">
        <f t="shared" si="2"/>
        <v>7.0987557600000001E-2</v>
      </c>
      <c r="K17" s="4">
        <f t="shared" si="3"/>
        <v>0.35493778799999998</v>
      </c>
      <c r="L17" s="4">
        <f t="shared" si="4"/>
        <v>5</v>
      </c>
    </row>
    <row r="18" spans="1:12" x14ac:dyDescent="0.25">
      <c r="A18">
        <v>2</v>
      </c>
      <c r="B18">
        <v>1</v>
      </c>
      <c r="C18" s="1" t="s">
        <v>52</v>
      </c>
      <c r="D18" s="1" t="s">
        <v>55</v>
      </c>
      <c r="E18" s="1" t="s">
        <v>53</v>
      </c>
      <c r="F18" s="1">
        <v>15</v>
      </c>
      <c r="G18">
        <v>6</v>
      </c>
      <c r="H18" s="3">
        <f t="shared" si="5"/>
        <v>1.76715E-2</v>
      </c>
      <c r="I18" s="4">
        <f t="shared" si="1"/>
        <v>8.8357499999999992E-2</v>
      </c>
      <c r="J18" s="3">
        <f t="shared" si="2"/>
        <v>4.3698196799999992E-2</v>
      </c>
      <c r="K18" s="4">
        <f t="shared" si="3"/>
        <v>0.21849098399999994</v>
      </c>
      <c r="L18" s="4">
        <f t="shared" si="4"/>
        <v>5</v>
      </c>
    </row>
    <row r="19" spans="1:12" x14ac:dyDescent="0.25">
      <c r="A19">
        <v>2</v>
      </c>
      <c r="B19">
        <v>2</v>
      </c>
      <c r="C19" s="1" t="s">
        <v>52</v>
      </c>
      <c r="D19" s="1" t="s">
        <v>55</v>
      </c>
      <c r="E19" s="1" t="s">
        <v>53</v>
      </c>
      <c r="F19" s="1">
        <v>13</v>
      </c>
      <c r="G19">
        <v>7</v>
      </c>
      <c r="H19" s="3">
        <f t="shared" si="5"/>
        <v>1.3273260000000002E-2</v>
      </c>
      <c r="I19" s="4">
        <f t="shared" si="1"/>
        <v>6.6366300000000003E-2</v>
      </c>
      <c r="J19" s="3">
        <f t="shared" si="2"/>
        <v>3.8921128400000005E-2</v>
      </c>
      <c r="K19" s="4">
        <f t="shared" si="3"/>
        <v>0.19460564200000002</v>
      </c>
      <c r="L19" s="4">
        <f t="shared" si="4"/>
        <v>5</v>
      </c>
    </row>
    <row r="20" spans="1:12" x14ac:dyDescent="0.25">
      <c r="A20" s="1">
        <v>2</v>
      </c>
      <c r="B20" s="1">
        <v>3</v>
      </c>
      <c r="C20" s="1" t="s">
        <v>52</v>
      </c>
      <c r="D20" s="1" t="s">
        <v>55</v>
      </c>
      <c r="E20" s="1" t="s">
        <v>53</v>
      </c>
      <c r="F20" s="1">
        <v>14</v>
      </c>
      <c r="G20">
        <v>6</v>
      </c>
      <c r="H20" s="3">
        <f t="shared" si="5"/>
        <v>1.5393840000000002E-2</v>
      </c>
      <c r="I20" s="4">
        <f t="shared" si="1"/>
        <v>7.6969200000000002E-2</v>
      </c>
      <c r="J20" s="3">
        <f t="shared" si="2"/>
        <v>3.8720891999999993E-2</v>
      </c>
      <c r="K20" s="4">
        <f t="shared" si="3"/>
        <v>0.19360445999999995</v>
      </c>
      <c r="L20" s="4">
        <f t="shared" si="4"/>
        <v>5</v>
      </c>
    </row>
    <row r="21" spans="1:12" x14ac:dyDescent="0.25">
      <c r="A21" s="1">
        <v>2</v>
      </c>
      <c r="B21" s="1">
        <v>4</v>
      </c>
      <c r="C21" s="1" t="s">
        <v>52</v>
      </c>
      <c r="D21" s="1" t="s">
        <v>55</v>
      </c>
      <c r="E21" s="1" t="s">
        <v>53</v>
      </c>
      <c r="F21" s="1">
        <v>17</v>
      </c>
      <c r="G21">
        <v>7</v>
      </c>
      <c r="H21" s="3">
        <f t="shared" si="5"/>
        <v>2.2698060000000003E-2</v>
      </c>
      <c r="I21" s="4">
        <f t="shared" si="1"/>
        <v>0.1134903</v>
      </c>
      <c r="J21" s="3">
        <f t="shared" si="2"/>
        <v>6.2949496399999999E-2</v>
      </c>
      <c r="K21" s="4">
        <f t="shared" si="3"/>
        <v>0.31474748199999997</v>
      </c>
      <c r="L21" s="4">
        <f t="shared" si="4"/>
        <v>5</v>
      </c>
    </row>
    <row r="22" spans="1:12" x14ac:dyDescent="0.25">
      <c r="A22" s="1">
        <v>2</v>
      </c>
      <c r="B22" s="1">
        <v>5</v>
      </c>
      <c r="C22" s="1" t="s">
        <v>52</v>
      </c>
      <c r="D22" s="1" t="s">
        <v>55</v>
      </c>
      <c r="E22" s="1" t="s">
        <v>53</v>
      </c>
      <c r="F22" s="1">
        <v>14</v>
      </c>
      <c r="G22">
        <v>6</v>
      </c>
      <c r="H22" s="3">
        <f t="shared" si="5"/>
        <v>1.5393840000000002E-2</v>
      </c>
      <c r="I22" s="4">
        <f t="shared" si="1"/>
        <v>7.6969200000000002E-2</v>
      </c>
      <c r="J22" s="3">
        <f t="shared" si="2"/>
        <v>3.8720891999999993E-2</v>
      </c>
      <c r="K22" s="4">
        <f t="shared" si="3"/>
        <v>0.19360445999999995</v>
      </c>
      <c r="L22" s="4">
        <f t="shared" si="4"/>
        <v>5</v>
      </c>
    </row>
    <row r="23" spans="1:12" x14ac:dyDescent="0.25">
      <c r="A23" s="1">
        <v>2</v>
      </c>
      <c r="B23" s="1">
        <v>6</v>
      </c>
      <c r="C23" s="1" t="s">
        <v>52</v>
      </c>
      <c r="D23" s="1" t="s">
        <v>55</v>
      </c>
      <c r="E23" s="1" t="s">
        <v>53</v>
      </c>
      <c r="F23" s="1">
        <v>15</v>
      </c>
      <c r="G23">
        <v>7</v>
      </c>
      <c r="H23" s="3">
        <f t="shared" si="5"/>
        <v>1.76715E-2</v>
      </c>
      <c r="I23" s="4">
        <f t="shared" si="1"/>
        <v>8.8357499999999992E-2</v>
      </c>
      <c r="J23" s="3">
        <f t="shared" si="2"/>
        <v>5.0134366799999996E-2</v>
      </c>
      <c r="K23" s="4">
        <f t="shared" si="3"/>
        <v>0.25067183399999998</v>
      </c>
      <c r="L23" s="4">
        <f t="shared" si="4"/>
        <v>5</v>
      </c>
    </row>
    <row r="24" spans="1:12" x14ac:dyDescent="0.25">
      <c r="A24" s="1">
        <v>2</v>
      </c>
      <c r="B24" s="1">
        <v>7</v>
      </c>
      <c r="C24" s="1" t="s">
        <v>52</v>
      </c>
      <c r="D24" s="1" t="s">
        <v>55</v>
      </c>
      <c r="E24" s="1" t="s">
        <v>53</v>
      </c>
      <c r="F24" s="1">
        <v>12</v>
      </c>
      <c r="G24">
        <v>6</v>
      </c>
      <c r="H24" s="3">
        <f t="shared" si="5"/>
        <v>1.130976E-2</v>
      </c>
      <c r="I24" s="4">
        <f t="shared" si="1"/>
        <v>5.6548799999999996E-2</v>
      </c>
      <c r="J24" s="3">
        <f t="shared" si="2"/>
        <v>2.9796069599999999E-2</v>
      </c>
      <c r="K24" s="4">
        <f t="shared" si="3"/>
        <v>0.14898034799999998</v>
      </c>
      <c r="L24" s="4">
        <f t="shared" si="4"/>
        <v>5</v>
      </c>
    </row>
    <row r="25" spans="1:12" x14ac:dyDescent="0.25">
      <c r="A25" s="1">
        <v>2</v>
      </c>
      <c r="B25" s="1">
        <v>8</v>
      </c>
      <c r="C25" s="1" t="s">
        <v>52</v>
      </c>
      <c r="D25" s="1" t="s">
        <v>55</v>
      </c>
      <c r="E25" s="1" t="s">
        <v>53</v>
      </c>
      <c r="F25" s="1">
        <v>18</v>
      </c>
      <c r="G25">
        <v>7</v>
      </c>
      <c r="H25" s="3">
        <f t="shared" si="5"/>
        <v>2.5446959999999998E-2</v>
      </c>
      <c r="I25" s="4">
        <f t="shared" si="1"/>
        <v>0.12723479999999998</v>
      </c>
      <c r="J25" s="3">
        <f t="shared" si="2"/>
        <v>6.9957770399999994E-2</v>
      </c>
      <c r="K25" s="4">
        <f t="shared" si="3"/>
        <v>0.34978885199999993</v>
      </c>
      <c r="L25" s="4">
        <f t="shared" si="4"/>
        <v>5</v>
      </c>
    </row>
    <row r="26" spans="1:12" x14ac:dyDescent="0.25">
      <c r="A26" s="1">
        <v>2</v>
      </c>
      <c r="B26" s="1">
        <v>9</v>
      </c>
      <c r="C26" s="1" t="s">
        <v>52</v>
      </c>
      <c r="D26" s="1" t="s">
        <v>55</v>
      </c>
      <c r="E26" s="1" t="s">
        <v>53</v>
      </c>
      <c r="F26" s="1">
        <v>13</v>
      </c>
      <c r="G26">
        <v>8</v>
      </c>
      <c r="H26" s="3">
        <f t="shared" si="5"/>
        <v>1.3273260000000002E-2</v>
      </c>
      <c r="I26" s="4">
        <f t="shared" si="1"/>
        <v>6.6366300000000003E-2</v>
      </c>
      <c r="J26" s="3">
        <f t="shared" si="2"/>
        <v>4.3755407199999999E-2</v>
      </c>
      <c r="K26" s="4">
        <f t="shared" si="3"/>
        <v>0.21877703599999998</v>
      </c>
      <c r="L26" s="4">
        <f t="shared" si="4"/>
        <v>5</v>
      </c>
    </row>
    <row r="27" spans="1:12" x14ac:dyDescent="0.25">
      <c r="A27" s="1">
        <v>2</v>
      </c>
      <c r="B27" s="1">
        <v>10</v>
      </c>
      <c r="C27" s="1" t="s">
        <v>52</v>
      </c>
      <c r="D27" s="1" t="s">
        <v>55</v>
      </c>
      <c r="E27" s="1" t="s">
        <v>53</v>
      </c>
      <c r="F27" s="1">
        <v>14</v>
      </c>
      <c r="G27">
        <v>5</v>
      </c>
      <c r="H27" s="3">
        <f t="shared" si="5"/>
        <v>1.5393840000000002E-2</v>
      </c>
      <c r="I27" s="4">
        <f t="shared" si="1"/>
        <v>7.6969200000000002E-2</v>
      </c>
      <c r="J27" s="3">
        <f t="shared" si="2"/>
        <v>3.3114272799999997E-2</v>
      </c>
      <c r="K27" s="4">
        <f t="shared" si="3"/>
        <v>0.16557136399999997</v>
      </c>
      <c r="L27" s="4">
        <f t="shared" si="4"/>
        <v>5</v>
      </c>
    </row>
    <row r="28" spans="1:12" x14ac:dyDescent="0.25">
      <c r="A28" s="1">
        <v>2</v>
      </c>
      <c r="B28" s="1">
        <v>11</v>
      </c>
      <c r="C28" s="1" t="s">
        <v>52</v>
      </c>
      <c r="D28" s="1" t="s">
        <v>55</v>
      </c>
      <c r="E28" s="1" t="s">
        <v>53</v>
      </c>
      <c r="F28" s="1">
        <v>13</v>
      </c>
      <c r="G28">
        <v>8</v>
      </c>
      <c r="H28" s="3">
        <f t="shared" si="5"/>
        <v>1.3273260000000002E-2</v>
      </c>
      <c r="I28" s="4">
        <f t="shared" si="1"/>
        <v>6.6366300000000003E-2</v>
      </c>
      <c r="J28" s="3">
        <f t="shared" si="2"/>
        <v>4.3755407199999999E-2</v>
      </c>
      <c r="K28" s="4">
        <f t="shared" si="3"/>
        <v>0.21877703599999998</v>
      </c>
      <c r="L28" s="4">
        <f t="shared" si="4"/>
        <v>5</v>
      </c>
    </row>
    <row r="29" spans="1:12" x14ac:dyDescent="0.25">
      <c r="A29" s="1">
        <v>2</v>
      </c>
      <c r="B29" s="1">
        <v>12</v>
      </c>
      <c r="C29" s="1" t="s">
        <v>52</v>
      </c>
      <c r="D29" s="1" t="s">
        <v>55</v>
      </c>
      <c r="E29" s="1" t="s">
        <v>53</v>
      </c>
      <c r="F29" s="1">
        <v>12</v>
      </c>
      <c r="G29">
        <v>7</v>
      </c>
      <c r="H29" s="3">
        <f t="shared" si="5"/>
        <v>1.130976E-2</v>
      </c>
      <c r="I29" s="4">
        <f t="shared" si="1"/>
        <v>5.6548799999999996E-2</v>
      </c>
      <c r="J29" s="3">
        <f t="shared" si="2"/>
        <v>3.3915218400000002E-2</v>
      </c>
      <c r="K29" s="4">
        <f t="shared" si="3"/>
        <v>0.16957609200000001</v>
      </c>
      <c r="L29" s="4">
        <f t="shared" si="4"/>
        <v>5</v>
      </c>
    </row>
    <row r="30" spans="1:12" x14ac:dyDescent="0.25">
      <c r="A30" s="1">
        <v>2</v>
      </c>
      <c r="B30" s="1">
        <v>13</v>
      </c>
      <c r="C30" s="1" t="s">
        <v>52</v>
      </c>
      <c r="D30" s="1" t="s">
        <v>55</v>
      </c>
      <c r="E30" s="1" t="s">
        <v>53</v>
      </c>
      <c r="F30" s="1">
        <v>17</v>
      </c>
      <c r="G30">
        <v>8</v>
      </c>
      <c r="H30" s="3">
        <f t="shared" si="5"/>
        <v>2.2698060000000003E-2</v>
      </c>
      <c r="I30" s="4">
        <f t="shared" si="1"/>
        <v>0.1134903</v>
      </c>
      <c r="J30" s="3">
        <f t="shared" si="2"/>
        <v>7.1216399200000002E-2</v>
      </c>
      <c r="K30" s="4">
        <f t="shared" si="3"/>
        <v>0.35608199600000001</v>
      </c>
      <c r="L30" s="4">
        <f t="shared" si="4"/>
        <v>5</v>
      </c>
    </row>
    <row r="31" spans="1:12" x14ac:dyDescent="0.25">
      <c r="A31" s="1">
        <v>2</v>
      </c>
      <c r="B31" s="1">
        <v>14</v>
      </c>
      <c r="C31" s="1" t="s">
        <v>52</v>
      </c>
      <c r="D31" s="1" t="s">
        <v>55</v>
      </c>
      <c r="E31" s="1" t="s">
        <v>53</v>
      </c>
      <c r="F31" s="1">
        <v>12</v>
      </c>
      <c r="G31">
        <v>6</v>
      </c>
      <c r="H31" s="3">
        <f t="shared" si="5"/>
        <v>1.130976E-2</v>
      </c>
      <c r="I31" s="4">
        <f t="shared" si="1"/>
        <v>5.6548799999999996E-2</v>
      </c>
      <c r="J31" s="3">
        <f t="shared" si="2"/>
        <v>2.9796069599999999E-2</v>
      </c>
      <c r="K31" s="4">
        <f t="shared" si="3"/>
        <v>0.14898034799999998</v>
      </c>
      <c r="L31" s="4">
        <f t="shared" si="4"/>
        <v>5</v>
      </c>
    </row>
    <row r="32" spans="1:12" x14ac:dyDescent="0.25">
      <c r="A32" s="1">
        <v>2</v>
      </c>
      <c r="B32" s="1">
        <v>15</v>
      </c>
      <c r="C32" s="1" t="s">
        <v>52</v>
      </c>
      <c r="D32" s="1" t="s">
        <v>55</v>
      </c>
      <c r="E32" s="1" t="s">
        <v>53</v>
      </c>
      <c r="F32" s="1">
        <v>14</v>
      </c>
      <c r="G32">
        <v>6</v>
      </c>
      <c r="H32" s="3">
        <f t="shared" si="5"/>
        <v>1.5393840000000002E-2</v>
      </c>
      <c r="I32" s="4">
        <f t="shared" si="1"/>
        <v>7.6969200000000002E-2</v>
      </c>
      <c r="J32" s="3">
        <f t="shared" si="2"/>
        <v>3.8720891999999993E-2</v>
      </c>
      <c r="K32" s="4">
        <f t="shared" si="3"/>
        <v>0.19360445999999995</v>
      </c>
      <c r="L32" s="4">
        <f t="shared" si="4"/>
        <v>5</v>
      </c>
    </row>
    <row r="33" spans="1:12" x14ac:dyDescent="0.25">
      <c r="A33" s="1">
        <v>2</v>
      </c>
      <c r="B33" s="1">
        <v>16</v>
      </c>
      <c r="C33" s="1" t="s">
        <v>52</v>
      </c>
      <c r="D33" s="1" t="s">
        <v>55</v>
      </c>
      <c r="E33" s="1" t="s">
        <v>53</v>
      </c>
      <c r="F33" s="1">
        <v>12</v>
      </c>
      <c r="G33">
        <v>6</v>
      </c>
      <c r="H33" s="3">
        <f t="shared" si="5"/>
        <v>1.130976E-2</v>
      </c>
      <c r="I33" s="4">
        <f t="shared" si="1"/>
        <v>5.6548799999999996E-2</v>
      </c>
      <c r="J33" s="3">
        <f t="shared" si="2"/>
        <v>2.9796069599999999E-2</v>
      </c>
      <c r="K33" s="4">
        <f t="shared" si="3"/>
        <v>0.14898034799999998</v>
      </c>
      <c r="L33" s="4">
        <f t="shared" si="4"/>
        <v>5</v>
      </c>
    </row>
    <row r="34" spans="1:12" s="1" customFormat="1" x14ac:dyDescent="0.25">
      <c r="A34" s="1">
        <v>2</v>
      </c>
      <c r="B34" s="1">
        <v>17</v>
      </c>
      <c r="C34" s="1" t="s">
        <v>52</v>
      </c>
      <c r="D34" s="1" t="s">
        <v>55</v>
      </c>
      <c r="E34" s="1" t="s">
        <v>53</v>
      </c>
      <c r="F34" s="1">
        <v>15</v>
      </c>
      <c r="G34" s="1">
        <v>6</v>
      </c>
      <c r="H34" s="3">
        <f t="shared" si="5"/>
        <v>1.76715E-2</v>
      </c>
      <c r="I34" s="4">
        <f t="shared" si="1"/>
        <v>8.8357499999999992E-2</v>
      </c>
      <c r="J34" s="3">
        <f t="shared" si="2"/>
        <v>4.3698196799999992E-2</v>
      </c>
      <c r="K34" s="4">
        <f t="shared" si="3"/>
        <v>0.21849098399999994</v>
      </c>
      <c r="L34" s="4">
        <f t="shared" si="4"/>
        <v>5</v>
      </c>
    </row>
    <row r="35" spans="1:12" s="1" customFormat="1" x14ac:dyDescent="0.25">
      <c r="A35" s="1">
        <v>2</v>
      </c>
      <c r="B35" s="1">
        <v>18</v>
      </c>
      <c r="C35" s="1" t="s">
        <v>52</v>
      </c>
      <c r="D35" s="1" t="s">
        <v>55</v>
      </c>
      <c r="E35" s="1" t="s">
        <v>53</v>
      </c>
      <c r="F35" s="1">
        <v>10</v>
      </c>
      <c r="G35" s="1">
        <v>4</v>
      </c>
      <c r="H35" s="3">
        <f t="shared" si="5"/>
        <v>7.8540000000000016E-3</v>
      </c>
      <c r="I35" s="4">
        <f t="shared" si="1"/>
        <v>3.9270000000000006E-2</v>
      </c>
      <c r="J35" s="3">
        <f t="shared" si="2"/>
        <v>1.6523256799999997E-2</v>
      </c>
      <c r="K35" s="4">
        <f t="shared" si="3"/>
        <v>8.2616283999999984E-2</v>
      </c>
      <c r="L35" s="4">
        <f t="shared" si="4"/>
        <v>5</v>
      </c>
    </row>
    <row r="36" spans="1:12" s="1" customFormat="1" x14ac:dyDescent="0.25">
      <c r="A36" s="1">
        <v>2</v>
      </c>
      <c r="B36" s="1">
        <v>19</v>
      </c>
      <c r="C36" s="1" t="s">
        <v>52</v>
      </c>
      <c r="D36" s="1" t="s">
        <v>55</v>
      </c>
      <c r="E36" s="1" t="s">
        <v>53</v>
      </c>
      <c r="F36" s="1">
        <v>14</v>
      </c>
      <c r="G36" s="1">
        <v>6</v>
      </c>
      <c r="H36" s="3">
        <f t="shared" si="5"/>
        <v>1.5393840000000002E-2</v>
      </c>
      <c r="I36" s="4">
        <f t="shared" si="1"/>
        <v>7.6969200000000002E-2</v>
      </c>
      <c r="J36" s="3">
        <f t="shared" si="2"/>
        <v>3.8720891999999993E-2</v>
      </c>
      <c r="K36" s="4">
        <f t="shared" si="3"/>
        <v>0.19360445999999995</v>
      </c>
      <c r="L36" s="4">
        <f t="shared" si="4"/>
        <v>5</v>
      </c>
    </row>
    <row r="37" spans="1:12" x14ac:dyDescent="0.25">
      <c r="A37" s="1">
        <v>2</v>
      </c>
      <c r="B37" s="1">
        <v>20</v>
      </c>
      <c r="C37" s="1" t="s">
        <v>52</v>
      </c>
      <c r="D37" s="1" t="s">
        <v>55</v>
      </c>
      <c r="E37" s="1" t="s">
        <v>53</v>
      </c>
      <c r="F37" s="1">
        <v>15</v>
      </c>
      <c r="G37">
        <v>6</v>
      </c>
      <c r="H37" s="3">
        <f t="shared" si="5"/>
        <v>1.76715E-2</v>
      </c>
      <c r="I37" s="4">
        <f t="shared" si="1"/>
        <v>8.8357499999999992E-2</v>
      </c>
      <c r="J37" s="3">
        <f t="shared" si="2"/>
        <v>4.3698196799999992E-2</v>
      </c>
      <c r="K37" s="4">
        <f t="shared" si="3"/>
        <v>0.21849098399999994</v>
      </c>
      <c r="L37" s="4">
        <f t="shared" si="4"/>
        <v>5</v>
      </c>
    </row>
    <row r="38" spans="1:12" x14ac:dyDescent="0.25">
      <c r="A38" s="1">
        <v>2</v>
      </c>
      <c r="B38" s="1">
        <v>21</v>
      </c>
      <c r="C38" s="1" t="s">
        <v>52</v>
      </c>
      <c r="D38" s="1" t="s">
        <v>55</v>
      </c>
      <c r="E38" s="1" t="s">
        <v>53</v>
      </c>
      <c r="F38" s="1">
        <v>13</v>
      </c>
      <c r="G38">
        <v>5</v>
      </c>
      <c r="H38" s="3">
        <f t="shared" si="5"/>
        <v>1.3273260000000002E-2</v>
      </c>
      <c r="I38" s="4">
        <f t="shared" si="1"/>
        <v>6.6366300000000003E-2</v>
      </c>
      <c r="J38" s="3">
        <f t="shared" si="2"/>
        <v>2.9252570799999999E-2</v>
      </c>
      <c r="K38" s="4">
        <f t="shared" si="3"/>
        <v>0.146262854</v>
      </c>
      <c r="L38" s="4">
        <f t="shared" si="4"/>
        <v>5</v>
      </c>
    </row>
    <row r="39" spans="1:12" x14ac:dyDescent="0.25">
      <c r="A39">
        <v>3</v>
      </c>
      <c r="B39">
        <v>1</v>
      </c>
      <c r="C39" s="1" t="s">
        <v>52</v>
      </c>
      <c r="D39" s="1" t="s">
        <v>55</v>
      </c>
      <c r="E39" s="1" t="s">
        <v>54</v>
      </c>
      <c r="F39" s="1">
        <v>20</v>
      </c>
      <c r="G39">
        <v>8</v>
      </c>
      <c r="H39" s="3">
        <f t="shared" si="5"/>
        <v>3.1416000000000006E-2</v>
      </c>
      <c r="I39" s="4">
        <f t="shared" si="1"/>
        <v>0.15708000000000003</v>
      </c>
      <c r="J39" s="3">
        <f t="shared" si="2"/>
        <v>9.6617816799999992E-2</v>
      </c>
      <c r="K39" s="4">
        <f t="shared" si="3"/>
        <v>0.48308908399999995</v>
      </c>
      <c r="L39" s="4">
        <f t="shared" si="4"/>
        <v>5</v>
      </c>
    </row>
    <row r="40" spans="1:12" x14ac:dyDescent="0.25">
      <c r="A40">
        <v>3</v>
      </c>
      <c r="B40">
        <v>2</v>
      </c>
      <c r="C40" s="1" t="s">
        <v>52</v>
      </c>
      <c r="D40" s="1" t="s">
        <v>55</v>
      </c>
      <c r="E40" s="1" t="s">
        <v>53</v>
      </c>
      <c r="F40" s="1">
        <v>19</v>
      </c>
      <c r="G40">
        <v>7</v>
      </c>
      <c r="H40" s="3">
        <f t="shared" si="5"/>
        <v>2.835294E-2</v>
      </c>
      <c r="I40" s="4">
        <f t="shared" si="1"/>
        <v>0.14176469999999999</v>
      </c>
      <c r="J40" s="3">
        <f t="shared" si="2"/>
        <v>7.7366517199999998E-2</v>
      </c>
      <c r="K40" s="4">
        <f t="shared" si="3"/>
        <v>0.38683258599999998</v>
      </c>
      <c r="L40" s="4">
        <f t="shared" si="4"/>
        <v>5</v>
      </c>
    </row>
    <row r="41" spans="1:12" x14ac:dyDescent="0.25">
      <c r="A41" s="1">
        <v>3</v>
      </c>
      <c r="B41" s="1">
        <v>3</v>
      </c>
      <c r="C41" s="1" t="s">
        <v>52</v>
      </c>
      <c r="D41" s="1" t="s">
        <v>55</v>
      </c>
      <c r="E41" s="1" t="s">
        <v>53</v>
      </c>
      <c r="F41" s="1">
        <v>18</v>
      </c>
      <c r="G41">
        <v>7</v>
      </c>
      <c r="H41" s="3">
        <f t="shared" si="5"/>
        <v>2.5446959999999998E-2</v>
      </c>
      <c r="I41" s="4">
        <f t="shared" si="1"/>
        <v>0.12723479999999998</v>
      </c>
      <c r="J41" s="3">
        <f t="shared" si="2"/>
        <v>6.9957770399999994E-2</v>
      </c>
      <c r="K41" s="4">
        <f t="shared" si="3"/>
        <v>0.34978885199999993</v>
      </c>
      <c r="L41" s="4">
        <f t="shared" si="4"/>
        <v>5</v>
      </c>
    </row>
    <row r="42" spans="1:12" x14ac:dyDescent="0.25">
      <c r="A42" s="1">
        <v>3</v>
      </c>
      <c r="B42" s="1">
        <v>4</v>
      </c>
      <c r="C42" s="1" t="s">
        <v>52</v>
      </c>
      <c r="D42" s="1" t="s">
        <v>55</v>
      </c>
      <c r="E42" s="1" t="s">
        <v>54</v>
      </c>
      <c r="F42" s="1">
        <v>20</v>
      </c>
      <c r="G42">
        <v>12</v>
      </c>
      <c r="H42" s="3">
        <f t="shared" si="5"/>
        <v>3.1416000000000006E-2</v>
      </c>
      <c r="I42" s="4">
        <f t="shared" si="1"/>
        <v>0.15708000000000003</v>
      </c>
      <c r="J42" s="3">
        <f t="shared" si="2"/>
        <v>0.14238613680000001</v>
      </c>
      <c r="K42" s="4">
        <f t="shared" si="3"/>
        <v>0.71193068400000004</v>
      </c>
      <c r="L42" s="4">
        <f t="shared" si="4"/>
        <v>5</v>
      </c>
    </row>
    <row r="43" spans="1:12" x14ac:dyDescent="0.25">
      <c r="A43" s="1">
        <v>3</v>
      </c>
      <c r="B43" s="1">
        <v>5</v>
      </c>
      <c r="C43" s="1" t="s">
        <v>52</v>
      </c>
      <c r="D43" s="1" t="s">
        <v>55</v>
      </c>
      <c r="E43" s="1" t="s">
        <v>53</v>
      </c>
      <c r="F43" s="1">
        <v>18</v>
      </c>
      <c r="G43">
        <v>9</v>
      </c>
      <c r="H43" s="3">
        <f t="shared" si="5"/>
        <v>2.5446959999999998E-2</v>
      </c>
      <c r="I43" s="4">
        <f t="shared" si="1"/>
        <v>0.12723479999999998</v>
      </c>
      <c r="J43" s="3">
        <f t="shared" si="2"/>
        <v>8.8493939999999993E-2</v>
      </c>
      <c r="K43" s="4">
        <f t="shared" si="3"/>
        <v>0.44246969999999997</v>
      </c>
      <c r="L43" s="4">
        <f t="shared" si="4"/>
        <v>5</v>
      </c>
    </row>
    <row r="44" spans="1:12" x14ac:dyDescent="0.25">
      <c r="A44" s="1">
        <v>3</v>
      </c>
      <c r="B44" s="1">
        <v>6</v>
      </c>
      <c r="C44" s="1" t="s">
        <v>52</v>
      </c>
      <c r="D44" s="1" t="s">
        <v>55</v>
      </c>
      <c r="E44" s="1" t="s">
        <v>53</v>
      </c>
      <c r="F44" s="1">
        <v>15</v>
      </c>
      <c r="G44">
        <v>6</v>
      </c>
      <c r="H44" s="3">
        <f t="shared" si="5"/>
        <v>1.76715E-2</v>
      </c>
      <c r="I44" s="4">
        <f t="shared" si="1"/>
        <v>8.8357499999999992E-2</v>
      </c>
      <c r="J44" s="3">
        <f t="shared" si="2"/>
        <v>4.3698196799999992E-2</v>
      </c>
      <c r="K44" s="4">
        <f t="shared" si="3"/>
        <v>0.21849098399999994</v>
      </c>
      <c r="L44" s="4">
        <f t="shared" si="4"/>
        <v>5</v>
      </c>
    </row>
    <row r="45" spans="1:12" x14ac:dyDescent="0.25">
      <c r="A45" s="1">
        <v>3</v>
      </c>
      <c r="B45" s="1">
        <v>7</v>
      </c>
      <c r="C45" s="1" t="s">
        <v>52</v>
      </c>
      <c r="D45" s="1" t="s">
        <v>55</v>
      </c>
      <c r="E45" s="1" t="s">
        <v>53</v>
      </c>
      <c r="F45" s="1">
        <v>18</v>
      </c>
      <c r="G45">
        <v>7</v>
      </c>
      <c r="H45" s="3">
        <f t="shared" si="5"/>
        <v>2.5446959999999998E-2</v>
      </c>
      <c r="I45" s="4">
        <f t="shared" si="1"/>
        <v>0.12723479999999998</v>
      </c>
      <c r="J45" s="3">
        <f t="shared" si="2"/>
        <v>6.9957770399999994E-2</v>
      </c>
      <c r="K45" s="4">
        <f t="shared" si="3"/>
        <v>0.34978885199999993</v>
      </c>
      <c r="L45" s="4">
        <f t="shared" si="4"/>
        <v>5</v>
      </c>
    </row>
    <row r="46" spans="1:12" x14ac:dyDescent="0.25">
      <c r="A46" s="1">
        <v>3</v>
      </c>
      <c r="B46" s="1">
        <v>8</v>
      </c>
      <c r="C46" s="1" t="s">
        <v>52</v>
      </c>
      <c r="D46" s="1" t="s">
        <v>55</v>
      </c>
      <c r="E46" s="1" t="s">
        <v>53</v>
      </c>
      <c r="F46" s="1">
        <v>12</v>
      </c>
      <c r="G46">
        <v>7</v>
      </c>
      <c r="H46" s="3">
        <f t="shared" si="5"/>
        <v>1.130976E-2</v>
      </c>
      <c r="I46" s="4">
        <f t="shared" si="1"/>
        <v>5.6548799999999996E-2</v>
      </c>
      <c r="J46" s="3">
        <f t="shared" si="2"/>
        <v>3.3915218400000002E-2</v>
      </c>
      <c r="K46" s="4">
        <f t="shared" si="3"/>
        <v>0.16957609200000001</v>
      </c>
      <c r="L46" s="4">
        <f t="shared" si="4"/>
        <v>5</v>
      </c>
    </row>
    <row r="47" spans="1:12" x14ac:dyDescent="0.25">
      <c r="A47" s="1">
        <v>3</v>
      </c>
      <c r="B47" s="1">
        <v>9</v>
      </c>
      <c r="C47" s="1" t="s">
        <v>52</v>
      </c>
      <c r="D47" s="1" t="s">
        <v>55</v>
      </c>
      <c r="E47" s="1" t="s">
        <v>53</v>
      </c>
      <c r="F47" s="1">
        <v>14</v>
      </c>
      <c r="G47">
        <v>7</v>
      </c>
      <c r="H47" s="3">
        <f t="shared" si="5"/>
        <v>1.5393840000000002E-2</v>
      </c>
      <c r="I47" s="4">
        <f t="shared" si="1"/>
        <v>7.6969200000000002E-2</v>
      </c>
      <c r="J47" s="3">
        <f t="shared" si="2"/>
        <v>4.4327511200000003E-2</v>
      </c>
      <c r="K47" s="4">
        <f t="shared" si="3"/>
        <v>0.22163755600000001</v>
      </c>
      <c r="L47" s="4">
        <f t="shared" si="4"/>
        <v>5</v>
      </c>
    </row>
    <row r="48" spans="1:12" x14ac:dyDescent="0.25">
      <c r="A48" s="1">
        <v>3</v>
      </c>
      <c r="B48" s="1">
        <v>10</v>
      </c>
      <c r="C48" s="1" t="s">
        <v>52</v>
      </c>
      <c r="D48" s="1" t="s">
        <v>55</v>
      </c>
      <c r="E48" s="1" t="s">
        <v>53</v>
      </c>
      <c r="F48" s="1">
        <v>12</v>
      </c>
      <c r="G48">
        <v>7</v>
      </c>
      <c r="H48" s="3">
        <f t="shared" si="5"/>
        <v>1.130976E-2</v>
      </c>
      <c r="I48" s="4">
        <f t="shared" si="1"/>
        <v>5.6548799999999996E-2</v>
      </c>
      <c r="J48" s="3">
        <f t="shared" si="2"/>
        <v>3.3915218400000002E-2</v>
      </c>
      <c r="K48" s="4">
        <f t="shared" si="3"/>
        <v>0.16957609200000001</v>
      </c>
      <c r="L48" s="4">
        <f t="shared" si="4"/>
        <v>5</v>
      </c>
    </row>
    <row r="49" spans="1:12" x14ac:dyDescent="0.25">
      <c r="A49" s="1">
        <v>3</v>
      </c>
      <c r="B49" s="1">
        <v>11</v>
      </c>
      <c r="C49" s="1" t="s">
        <v>52</v>
      </c>
      <c r="D49" s="1" t="s">
        <v>55</v>
      </c>
      <c r="E49" s="1" t="s">
        <v>53</v>
      </c>
      <c r="F49" s="1">
        <v>15</v>
      </c>
      <c r="G49">
        <v>7</v>
      </c>
      <c r="H49" s="3">
        <f t="shared" si="5"/>
        <v>1.76715E-2</v>
      </c>
      <c r="I49" s="4">
        <f t="shared" si="1"/>
        <v>8.8357499999999992E-2</v>
      </c>
      <c r="J49" s="3">
        <f t="shared" si="2"/>
        <v>5.0134366799999996E-2</v>
      </c>
      <c r="K49" s="4">
        <f t="shared" si="3"/>
        <v>0.25067183399999998</v>
      </c>
      <c r="L49" s="4">
        <f t="shared" si="4"/>
        <v>5</v>
      </c>
    </row>
    <row r="50" spans="1:12" x14ac:dyDescent="0.25">
      <c r="A50" s="1">
        <v>3</v>
      </c>
      <c r="B50" s="1">
        <v>12</v>
      </c>
      <c r="C50" s="1" t="s">
        <v>52</v>
      </c>
      <c r="D50" s="1" t="s">
        <v>55</v>
      </c>
      <c r="E50" s="1" t="s">
        <v>53</v>
      </c>
      <c r="F50" s="1">
        <v>13</v>
      </c>
      <c r="G50">
        <v>7</v>
      </c>
      <c r="H50" s="3">
        <f t="shared" si="5"/>
        <v>1.3273260000000002E-2</v>
      </c>
      <c r="I50" s="4">
        <f t="shared" si="1"/>
        <v>6.6366300000000003E-2</v>
      </c>
      <c r="J50" s="3">
        <f t="shared" si="2"/>
        <v>3.8921128400000005E-2</v>
      </c>
      <c r="K50" s="4">
        <f t="shared" si="3"/>
        <v>0.19460564200000002</v>
      </c>
      <c r="L50" s="4">
        <f t="shared" si="4"/>
        <v>5</v>
      </c>
    </row>
    <row r="51" spans="1:12" x14ac:dyDescent="0.25">
      <c r="A51" s="1">
        <v>3</v>
      </c>
      <c r="B51" s="1">
        <v>13</v>
      </c>
      <c r="C51" s="1" t="s">
        <v>52</v>
      </c>
      <c r="D51" s="1" t="s">
        <v>55</v>
      </c>
      <c r="E51" s="1" t="s">
        <v>53</v>
      </c>
      <c r="F51" s="1">
        <v>16</v>
      </c>
      <c r="G51">
        <v>7</v>
      </c>
      <c r="H51" s="3">
        <f t="shared" si="5"/>
        <v>2.0106240000000001E-2</v>
      </c>
      <c r="I51" s="4">
        <f t="shared" si="1"/>
        <v>0.1005312</v>
      </c>
      <c r="J51" s="3">
        <f t="shared" si="2"/>
        <v>5.63416952E-2</v>
      </c>
      <c r="K51" s="4">
        <f t="shared" si="3"/>
        <v>0.28170847599999999</v>
      </c>
      <c r="L51" s="4">
        <f t="shared" si="4"/>
        <v>5</v>
      </c>
    </row>
    <row r="52" spans="1:12" x14ac:dyDescent="0.25">
      <c r="A52" s="1">
        <v>3</v>
      </c>
      <c r="B52" s="1">
        <v>14</v>
      </c>
      <c r="C52" s="1" t="s">
        <v>52</v>
      </c>
      <c r="D52" s="1" t="s">
        <v>55</v>
      </c>
      <c r="E52" s="1" t="s">
        <v>53</v>
      </c>
      <c r="F52" s="1">
        <v>12</v>
      </c>
      <c r="G52">
        <v>6</v>
      </c>
      <c r="H52" s="3">
        <f t="shared" si="5"/>
        <v>1.130976E-2</v>
      </c>
      <c r="I52" s="4">
        <f t="shared" si="1"/>
        <v>5.6548799999999996E-2</v>
      </c>
      <c r="J52" s="3">
        <f t="shared" si="2"/>
        <v>2.9796069599999999E-2</v>
      </c>
      <c r="K52" s="4">
        <f t="shared" si="3"/>
        <v>0.14898034799999998</v>
      </c>
      <c r="L52" s="4">
        <f t="shared" si="4"/>
        <v>5</v>
      </c>
    </row>
    <row r="53" spans="1:12" x14ac:dyDescent="0.25">
      <c r="A53" s="1">
        <v>3</v>
      </c>
      <c r="B53" s="1">
        <v>15</v>
      </c>
      <c r="C53" s="1" t="s">
        <v>52</v>
      </c>
      <c r="D53" s="1" t="s">
        <v>55</v>
      </c>
      <c r="E53" s="1" t="s">
        <v>53</v>
      </c>
      <c r="F53" s="1">
        <v>10</v>
      </c>
      <c r="G53">
        <v>6</v>
      </c>
      <c r="H53" s="3">
        <f t="shared" si="5"/>
        <v>7.8540000000000016E-3</v>
      </c>
      <c r="I53" s="4">
        <f t="shared" si="1"/>
        <v>3.9270000000000006E-2</v>
      </c>
      <c r="J53" s="3">
        <f t="shared" si="2"/>
        <v>2.22442968E-2</v>
      </c>
      <c r="K53" s="4">
        <f t="shared" si="3"/>
        <v>0.111221484</v>
      </c>
      <c r="L53" s="4">
        <f t="shared" si="4"/>
        <v>5</v>
      </c>
    </row>
    <row r="54" spans="1:12" x14ac:dyDescent="0.25">
      <c r="A54" s="1">
        <v>4</v>
      </c>
      <c r="B54" s="1">
        <v>1</v>
      </c>
      <c r="C54" s="1" t="s">
        <v>52</v>
      </c>
      <c r="D54" s="1" t="s">
        <v>55</v>
      </c>
      <c r="E54" s="1" t="s">
        <v>53</v>
      </c>
      <c r="F54" s="1">
        <v>13</v>
      </c>
      <c r="G54">
        <v>6</v>
      </c>
      <c r="H54" s="3">
        <f t="shared" ref="H54:H73" si="6">0.7854*(F54/100)^2</f>
        <v>1.3273260000000002E-2</v>
      </c>
      <c r="I54" s="4">
        <f t="shared" si="1"/>
        <v>6.6366300000000003E-2</v>
      </c>
      <c r="J54" s="3">
        <f t="shared" si="2"/>
        <v>3.4086849599999997E-2</v>
      </c>
      <c r="K54" s="4">
        <f t="shared" si="3"/>
        <v>0.17043424799999998</v>
      </c>
      <c r="L54" s="4">
        <f t="shared" si="4"/>
        <v>5</v>
      </c>
    </row>
    <row r="55" spans="1:12" x14ac:dyDescent="0.25">
      <c r="A55" s="1">
        <v>4</v>
      </c>
      <c r="B55" s="1">
        <v>2</v>
      </c>
      <c r="C55" s="1" t="s">
        <v>52</v>
      </c>
      <c r="D55" s="1" t="s">
        <v>55</v>
      </c>
      <c r="E55" s="1" t="s">
        <v>53</v>
      </c>
      <c r="F55" s="1">
        <v>12</v>
      </c>
      <c r="G55">
        <v>5</v>
      </c>
      <c r="H55" s="3">
        <f t="shared" si="6"/>
        <v>1.130976E-2</v>
      </c>
      <c r="I55" s="4">
        <f t="shared" si="1"/>
        <v>5.6548799999999996E-2</v>
      </c>
      <c r="J55" s="3">
        <f t="shared" si="2"/>
        <v>2.5676920799999999E-2</v>
      </c>
      <c r="K55" s="4">
        <f t="shared" si="3"/>
        <v>0.12838460399999999</v>
      </c>
      <c r="L55" s="4">
        <f t="shared" si="4"/>
        <v>5</v>
      </c>
    </row>
    <row r="56" spans="1:12" x14ac:dyDescent="0.25">
      <c r="A56" s="1">
        <v>4</v>
      </c>
      <c r="B56" s="1">
        <v>3</v>
      </c>
      <c r="C56" s="1" t="s">
        <v>52</v>
      </c>
      <c r="D56" s="1" t="s">
        <v>55</v>
      </c>
      <c r="E56" s="1" t="s">
        <v>53</v>
      </c>
      <c r="F56" s="1">
        <v>15</v>
      </c>
      <c r="G56">
        <v>6</v>
      </c>
      <c r="H56" s="3">
        <f t="shared" si="6"/>
        <v>1.76715E-2</v>
      </c>
      <c r="I56" s="4">
        <f t="shared" si="1"/>
        <v>8.8357499999999992E-2</v>
      </c>
      <c r="J56" s="3">
        <f t="shared" si="2"/>
        <v>4.3698196799999992E-2</v>
      </c>
      <c r="K56" s="4">
        <f t="shared" si="3"/>
        <v>0.21849098399999994</v>
      </c>
      <c r="L56" s="4">
        <f t="shared" si="4"/>
        <v>5</v>
      </c>
    </row>
    <row r="57" spans="1:12" x14ac:dyDescent="0.25">
      <c r="A57" s="1">
        <v>4</v>
      </c>
      <c r="B57" s="1">
        <v>4</v>
      </c>
      <c r="C57" s="1" t="s">
        <v>52</v>
      </c>
      <c r="D57" s="1" t="s">
        <v>55</v>
      </c>
      <c r="E57" s="1" t="s">
        <v>53</v>
      </c>
      <c r="F57" s="1">
        <v>12</v>
      </c>
      <c r="G57">
        <v>5</v>
      </c>
      <c r="H57" s="3">
        <f t="shared" si="6"/>
        <v>1.130976E-2</v>
      </c>
      <c r="I57" s="4">
        <f t="shared" si="1"/>
        <v>5.6548799999999996E-2</v>
      </c>
      <c r="J57" s="3">
        <f t="shared" si="2"/>
        <v>2.5676920799999999E-2</v>
      </c>
      <c r="K57" s="4">
        <f t="shared" si="3"/>
        <v>0.12838460399999999</v>
      </c>
      <c r="L57" s="4">
        <f t="shared" si="4"/>
        <v>5</v>
      </c>
    </row>
    <row r="58" spans="1:12" x14ac:dyDescent="0.25">
      <c r="A58" s="1">
        <v>4</v>
      </c>
      <c r="B58" s="1">
        <v>5</v>
      </c>
      <c r="C58" s="1" t="s">
        <v>52</v>
      </c>
      <c r="D58" s="1" t="s">
        <v>55</v>
      </c>
      <c r="E58" s="1" t="s">
        <v>53</v>
      </c>
      <c r="F58" s="1">
        <v>13</v>
      </c>
      <c r="G58">
        <v>6</v>
      </c>
      <c r="H58" s="3">
        <f t="shared" si="6"/>
        <v>1.3273260000000002E-2</v>
      </c>
      <c r="I58" s="4">
        <f t="shared" si="1"/>
        <v>6.6366300000000003E-2</v>
      </c>
      <c r="J58" s="3">
        <f t="shared" si="2"/>
        <v>3.4086849599999997E-2</v>
      </c>
      <c r="K58" s="4">
        <f t="shared" si="3"/>
        <v>0.17043424799999998</v>
      </c>
      <c r="L58" s="4">
        <f t="shared" si="4"/>
        <v>5</v>
      </c>
    </row>
    <row r="59" spans="1:12" x14ac:dyDescent="0.25">
      <c r="A59" s="1">
        <v>4</v>
      </c>
      <c r="B59" s="1">
        <v>6</v>
      </c>
      <c r="C59" s="1" t="s">
        <v>52</v>
      </c>
      <c r="D59" s="1" t="s">
        <v>55</v>
      </c>
      <c r="E59" s="1" t="s">
        <v>53</v>
      </c>
      <c r="F59" s="1">
        <v>12</v>
      </c>
      <c r="G59">
        <v>5</v>
      </c>
      <c r="H59" s="3">
        <f t="shared" si="6"/>
        <v>1.130976E-2</v>
      </c>
      <c r="I59" s="4">
        <f t="shared" si="1"/>
        <v>5.6548799999999996E-2</v>
      </c>
      <c r="J59" s="3">
        <f t="shared" si="2"/>
        <v>2.5676920799999999E-2</v>
      </c>
      <c r="K59" s="4">
        <f t="shared" si="3"/>
        <v>0.12838460399999999</v>
      </c>
      <c r="L59" s="4">
        <f t="shared" si="4"/>
        <v>5</v>
      </c>
    </row>
    <row r="60" spans="1:12" x14ac:dyDescent="0.25">
      <c r="A60" s="1">
        <v>4</v>
      </c>
      <c r="B60" s="1">
        <v>7</v>
      </c>
      <c r="C60" s="1" t="s">
        <v>52</v>
      </c>
      <c r="D60" s="1" t="s">
        <v>55</v>
      </c>
      <c r="E60" s="1" t="s">
        <v>53</v>
      </c>
      <c r="F60">
        <v>10</v>
      </c>
      <c r="G60">
        <v>4</v>
      </c>
      <c r="H60" s="3">
        <f t="shared" si="6"/>
        <v>7.8540000000000016E-3</v>
      </c>
      <c r="I60" s="4">
        <f t="shared" si="1"/>
        <v>3.9270000000000006E-2</v>
      </c>
      <c r="J60" s="3">
        <f t="shared" si="2"/>
        <v>1.6523256799999997E-2</v>
      </c>
      <c r="K60" s="4">
        <f t="shared" si="3"/>
        <v>8.2616283999999984E-2</v>
      </c>
      <c r="L60" s="4">
        <f t="shared" si="4"/>
        <v>5</v>
      </c>
    </row>
    <row r="61" spans="1:12" x14ac:dyDescent="0.25">
      <c r="A61" s="1">
        <v>4</v>
      </c>
      <c r="B61" s="1">
        <v>8</v>
      </c>
      <c r="C61" s="1" t="s">
        <v>52</v>
      </c>
      <c r="D61" s="1" t="s">
        <v>55</v>
      </c>
      <c r="E61" s="1" t="s">
        <v>53</v>
      </c>
      <c r="F61">
        <v>13</v>
      </c>
      <c r="G61">
        <v>7</v>
      </c>
      <c r="H61" s="3">
        <f t="shared" si="6"/>
        <v>1.3273260000000002E-2</v>
      </c>
      <c r="I61" s="4">
        <f t="shared" si="1"/>
        <v>6.6366300000000003E-2</v>
      </c>
      <c r="J61" s="3">
        <f t="shared" si="2"/>
        <v>3.8921128400000005E-2</v>
      </c>
      <c r="K61" s="4">
        <f t="shared" si="3"/>
        <v>0.19460564200000002</v>
      </c>
      <c r="L61" s="4">
        <f t="shared" si="4"/>
        <v>5</v>
      </c>
    </row>
    <row r="62" spans="1:12" x14ac:dyDescent="0.25">
      <c r="A62" s="1">
        <v>4</v>
      </c>
      <c r="B62" s="1">
        <v>9</v>
      </c>
      <c r="C62" s="1" t="s">
        <v>52</v>
      </c>
      <c r="D62" s="1" t="s">
        <v>55</v>
      </c>
      <c r="E62" s="1" t="s">
        <v>53</v>
      </c>
      <c r="F62">
        <v>14</v>
      </c>
      <c r="G62">
        <v>8</v>
      </c>
      <c r="H62" s="3">
        <f t="shared" si="6"/>
        <v>1.5393840000000002E-2</v>
      </c>
      <c r="I62" s="4">
        <f t="shared" si="1"/>
        <v>7.6969200000000002E-2</v>
      </c>
      <c r="J62" s="3">
        <f t="shared" si="2"/>
        <v>4.9934130399999999E-2</v>
      </c>
      <c r="K62" s="4">
        <f t="shared" si="3"/>
        <v>0.24967065199999999</v>
      </c>
      <c r="L62" s="4">
        <f t="shared" si="4"/>
        <v>5</v>
      </c>
    </row>
    <row r="63" spans="1:12" x14ac:dyDescent="0.25">
      <c r="A63" s="1">
        <v>4</v>
      </c>
      <c r="B63" s="1">
        <v>10</v>
      </c>
      <c r="C63" s="1" t="s">
        <v>52</v>
      </c>
      <c r="D63" s="1" t="s">
        <v>55</v>
      </c>
      <c r="E63" s="1" t="s">
        <v>53</v>
      </c>
      <c r="F63">
        <v>13</v>
      </c>
      <c r="G63">
        <v>6</v>
      </c>
      <c r="H63" s="3">
        <f t="shared" si="6"/>
        <v>1.3273260000000002E-2</v>
      </c>
      <c r="I63" s="4">
        <f t="shared" si="1"/>
        <v>6.6366300000000003E-2</v>
      </c>
      <c r="J63" s="3">
        <f t="shared" si="2"/>
        <v>3.4086849599999997E-2</v>
      </c>
      <c r="K63" s="4">
        <f t="shared" si="3"/>
        <v>0.17043424799999998</v>
      </c>
      <c r="L63" s="4">
        <f t="shared" si="4"/>
        <v>5</v>
      </c>
    </row>
    <row r="64" spans="1:12" x14ac:dyDescent="0.25">
      <c r="A64" s="1">
        <v>4</v>
      </c>
      <c r="B64" s="1">
        <v>11</v>
      </c>
      <c r="C64" s="1" t="s">
        <v>52</v>
      </c>
      <c r="D64" s="1" t="s">
        <v>55</v>
      </c>
      <c r="E64" s="1" t="s">
        <v>53</v>
      </c>
      <c r="F64">
        <v>12</v>
      </c>
      <c r="G64">
        <v>5</v>
      </c>
      <c r="H64" s="3">
        <f t="shared" si="6"/>
        <v>1.130976E-2</v>
      </c>
      <c r="I64" s="4">
        <f t="shared" si="1"/>
        <v>5.6548799999999996E-2</v>
      </c>
      <c r="J64" s="3">
        <f t="shared" si="2"/>
        <v>2.5676920799999999E-2</v>
      </c>
      <c r="K64" s="4">
        <f t="shared" si="3"/>
        <v>0.12838460399999999</v>
      </c>
      <c r="L64" s="4">
        <f t="shared" si="4"/>
        <v>5</v>
      </c>
    </row>
    <row r="65" spans="1:12" x14ac:dyDescent="0.25">
      <c r="A65" s="1">
        <v>4</v>
      </c>
      <c r="B65" s="1">
        <v>12</v>
      </c>
      <c r="C65" s="1" t="s">
        <v>52</v>
      </c>
      <c r="D65" s="1" t="s">
        <v>55</v>
      </c>
      <c r="E65" s="1" t="s">
        <v>53</v>
      </c>
      <c r="F65">
        <v>12</v>
      </c>
      <c r="G65">
        <v>4</v>
      </c>
      <c r="H65" s="3">
        <f t="shared" si="6"/>
        <v>1.130976E-2</v>
      </c>
      <c r="I65" s="4">
        <f t="shared" si="1"/>
        <v>5.6548799999999996E-2</v>
      </c>
      <c r="J65" s="3">
        <f t="shared" si="2"/>
        <v>2.1557771999999999E-2</v>
      </c>
      <c r="K65" s="4">
        <f t="shared" si="3"/>
        <v>0.10778885999999999</v>
      </c>
      <c r="L65" s="4">
        <f t="shared" si="4"/>
        <v>5</v>
      </c>
    </row>
    <row r="66" spans="1:12" x14ac:dyDescent="0.25">
      <c r="A66" s="1">
        <v>4</v>
      </c>
      <c r="B66" s="1">
        <v>13</v>
      </c>
      <c r="C66" s="1" t="s">
        <v>52</v>
      </c>
      <c r="D66" s="1" t="s">
        <v>55</v>
      </c>
      <c r="E66" s="1" t="s">
        <v>53</v>
      </c>
      <c r="F66">
        <v>14</v>
      </c>
      <c r="G66">
        <v>6</v>
      </c>
      <c r="H66" s="3">
        <f t="shared" si="6"/>
        <v>1.5393840000000002E-2</v>
      </c>
      <c r="I66" s="4">
        <f t="shared" si="1"/>
        <v>7.6969200000000002E-2</v>
      </c>
      <c r="J66" s="3">
        <f t="shared" si="2"/>
        <v>3.8720891999999993E-2</v>
      </c>
      <c r="K66" s="4">
        <f t="shared" si="3"/>
        <v>0.19360445999999995</v>
      </c>
      <c r="L66" s="4">
        <f t="shared" si="4"/>
        <v>5</v>
      </c>
    </row>
    <row r="67" spans="1:12" x14ac:dyDescent="0.25">
      <c r="A67" s="1">
        <v>4</v>
      </c>
      <c r="B67" s="1">
        <v>14</v>
      </c>
      <c r="C67" s="1" t="s">
        <v>52</v>
      </c>
      <c r="D67" s="1" t="s">
        <v>55</v>
      </c>
      <c r="E67" s="1" t="s">
        <v>54</v>
      </c>
      <c r="F67">
        <v>20</v>
      </c>
      <c r="G67">
        <v>10</v>
      </c>
      <c r="H67" s="3">
        <f t="shared" si="6"/>
        <v>3.1416000000000006E-2</v>
      </c>
      <c r="I67" s="4">
        <f t="shared" ref="I67:I73" si="7">H67*1/$O$3</f>
        <v>0.15708000000000003</v>
      </c>
      <c r="J67" s="3">
        <f t="shared" ref="J67:J73" si="8">(0.0050811768+0.0000286052*(F67^2*G67))</f>
        <v>0.11950197679999999</v>
      </c>
      <c r="K67" s="4">
        <f t="shared" ref="K67:K73" si="9">J67/$O$3</f>
        <v>0.59750988399999994</v>
      </c>
      <c r="L67" s="4">
        <f t="shared" ref="L67:L73" si="10">1*1/$O$3</f>
        <v>5</v>
      </c>
    </row>
    <row r="68" spans="1:12" x14ac:dyDescent="0.25">
      <c r="A68" s="1">
        <v>4</v>
      </c>
      <c r="B68" s="1">
        <v>15</v>
      </c>
      <c r="C68" s="1" t="s">
        <v>52</v>
      </c>
      <c r="D68" s="1" t="s">
        <v>55</v>
      </c>
      <c r="E68" s="1" t="s">
        <v>54</v>
      </c>
      <c r="F68">
        <v>20</v>
      </c>
      <c r="G68">
        <v>9</v>
      </c>
      <c r="H68" s="3">
        <f t="shared" si="6"/>
        <v>3.1416000000000006E-2</v>
      </c>
      <c r="I68" s="4">
        <f t="shared" si="7"/>
        <v>0.15708000000000003</v>
      </c>
      <c r="J68" s="3">
        <f t="shared" si="8"/>
        <v>0.1080598968</v>
      </c>
      <c r="K68" s="4">
        <f t="shared" si="9"/>
        <v>0.54029948399999994</v>
      </c>
      <c r="L68" s="4">
        <f t="shared" si="10"/>
        <v>5</v>
      </c>
    </row>
    <row r="69" spans="1:12" x14ac:dyDescent="0.25">
      <c r="A69" s="1">
        <v>4</v>
      </c>
      <c r="B69" s="1">
        <v>16</v>
      </c>
      <c r="C69" s="1" t="s">
        <v>52</v>
      </c>
      <c r="D69" s="1" t="s">
        <v>55</v>
      </c>
      <c r="E69" s="1" t="s">
        <v>53</v>
      </c>
      <c r="F69">
        <v>14</v>
      </c>
      <c r="G69">
        <v>5</v>
      </c>
      <c r="H69" s="3">
        <f t="shared" si="6"/>
        <v>1.5393840000000002E-2</v>
      </c>
      <c r="I69" s="4">
        <f t="shared" si="7"/>
        <v>7.6969200000000002E-2</v>
      </c>
      <c r="J69" s="3">
        <f t="shared" si="8"/>
        <v>3.3114272799999997E-2</v>
      </c>
      <c r="K69" s="4">
        <f t="shared" si="9"/>
        <v>0.16557136399999997</v>
      </c>
      <c r="L69" s="4">
        <f t="shared" si="10"/>
        <v>5</v>
      </c>
    </row>
    <row r="70" spans="1:12" x14ac:dyDescent="0.25">
      <c r="A70" s="1">
        <v>4</v>
      </c>
      <c r="B70" s="1">
        <v>17</v>
      </c>
      <c r="C70" s="1" t="s">
        <v>52</v>
      </c>
      <c r="D70" s="1" t="s">
        <v>55</v>
      </c>
      <c r="E70" s="1" t="s">
        <v>53</v>
      </c>
      <c r="F70">
        <v>14</v>
      </c>
      <c r="G70">
        <v>6</v>
      </c>
      <c r="H70" s="3">
        <f t="shared" si="6"/>
        <v>1.5393840000000002E-2</v>
      </c>
      <c r="I70" s="4">
        <f t="shared" si="7"/>
        <v>7.6969200000000002E-2</v>
      </c>
      <c r="J70" s="3">
        <f t="shared" si="8"/>
        <v>3.8720891999999993E-2</v>
      </c>
      <c r="K70" s="4">
        <f t="shared" si="9"/>
        <v>0.19360445999999995</v>
      </c>
      <c r="L70" s="4">
        <f t="shared" si="10"/>
        <v>5</v>
      </c>
    </row>
    <row r="71" spans="1:12" x14ac:dyDescent="0.25">
      <c r="A71" s="1">
        <v>4</v>
      </c>
      <c r="B71" s="1">
        <v>18</v>
      </c>
      <c r="C71" s="1" t="s">
        <v>52</v>
      </c>
      <c r="D71" s="1" t="s">
        <v>55</v>
      </c>
      <c r="E71" s="1" t="s">
        <v>53</v>
      </c>
      <c r="F71">
        <v>13</v>
      </c>
      <c r="G71">
        <v>5</v>
      </c>
      <c r="H71" s="3">
        <f t="shared" si="6"/>
        <v>1.3273260000000002E-2</v>
      </c>
      <c r="I71" s="4">
        <f t="shared" si="7"/>
        <v>6.6366300000000003E-2</v>
      </c>
      <c r="J71" s="3">
        <f t="shared" si="8"/>
        <v>2.9252570799999999E-2</v>
      </c>
      <c r="K71" s="4">
        <f t="shared" si="9"/>
        <v>0.146262854</v>
      </c>
      <c r="L71" s="4">
        <f t="shared" si="10"/>
        <v>5</v>
      </c>
    </row>
    <row r="72" spans="1:12" x14ac:dyDescent="0.25">
      <c r="A72" s="1">
        <v>4</v>
      </c>
      <c r="B72" s="1">
        <v>19</v>
      </c>
      <c r="C72" s="1" t="s">
        <v>52</v>
      </c>
      <c r="D72" s="1" t="s">
        <v>55</v>
      </c>
      <c r="E72" s="1" t="s">
        <v>53</v>
      </c>
      <c r="F72">
        <v>12</v>
      </c>
      <c r="G72">
        <v>5</v>
      </c>
      <c r="H72" s="3">
        <f t="shared" si="6"/>
        <v>1.130976E-2</v>
      </c>
      <c r="I72" s="4">
        <f t="shared" si="7"/>
        <v>5.6548799999999996E-2</v>
      </c>
      <c r="J72" s="3">
        <f t="shared" si="8"/>
        <v>2.5676920799999999E-2</v>
      </c>
      <c r="K72" s="4">
        <f t="shared" si="9"/>
        <v>0.12838460399999999</v>
      </c>
      <c r="L72" s="4">
        <f t="shared" si="10"/>
        <v>5</v>
      </c>
    </row>
    <row r="73" spans="1:12" x14ac:dyDescent="0.25">
      <c r="A73" s="1">
        <v>4</v>
      </c>
      <c r="B73" s="1">
        <v>20</v>
      </c>
      <c r="C73" s="1" t="s">
        <v>52</v>
      </c>
      <c r="D73" s="1" t="s">
        <v>55</v>
      </c>
      <c r="E73" s="1" t="s">
        <v>53</v>
      </c>
      <c r="F73">
        <v>12</v>
      </c>
      <c r="G73">
        <v>5</v>
      </c>
      <c r="H73" s="3">
        <f t="shared" si="6"/>
        <v>1.130976E-2</v>
      </c>
      <c r="I73" s="4">
        <f t="shared" si="7"/>
        <v>5.6548799999999996E-2</v>
      </c>
      <c r="J73" s="3">
        <f t="shared" si="8"/>
        <v>2.5676920799999999E-2</v>
      </c>
      <c r="K73" s="4">
        <f t="shared" si="9"/>
        <v>0.12838460399999999</v>
      </c>
      <c r="L73" s="4">
        <f t="shared" si="10"/>
        <v>5</v>
      </c>
    </row>
  </sheetData>
  <autoFilter ref="A1:L73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5"/>
  <sheetViews>
    <sheetView workbookViewId="0">
      <selection activeCell="D14" sqref="D14:E14"/>
    </sheetView>
  </sheetViews>
  <sheetFormatPr baseColWidth="10" defaultColWidth="11.42578125" defaultRowHeight="15" x14ac:dyDescent="0.25"/>
  <cols>
    <col min="1" max="1" width="16" customWidth="1"/>
    <col min="2" max="2" width="19" bestFit="1" customWidth="1"/>
    <col min="3" max="3" width="4.140625" bestFit="1" customWidth="1"/>
    <col min="4" max="4" width="21.7109375" customWidth="1"/>
    <col min="5" max="5" width="31.85546875" customWidth="1"/>
    <col min="7" max="7" width="14" customWidth="1"/>
  </cols>
  <sheetData>
    <row r="3" spans="1:11" x14ac:dyDescent="0.25">
      <c r="A3" s="5" t="s">
        <v>12</v>
      </c>
      <c r="B3" t="s">
        <v>14</v>
      </c>
    </row>
    <row r="4" spans="1:11" x14ac:dyDescent="0.25">
      <c r="A4" s="6" t="s">
        <v>55</v>
      </c>
      <c r="B4" s="8">
        <v>72</v>
      </c>
    </row>
    <row r="5" spans="1:11" x14ac:dyDescent="0.25">
      <c r="A5" s="7" t="s">
        <v>52</v>
      </c>
      <c r="B5" s="8">
        <v>72</v>
      </c>
    </row>
    <row r="6" spans="1:11" x14ac:dyDescent="0.25">
      <c r="A6" s="6" t="s">
        <v>13</v>
      </c>
      <c r="B6" s="8">
        <v>72</v>
      </c>
    </row>
    <row r="10" spans="1:11" x14ac:dyDescent="0.25">
      <c r="K10">
        <f>0.15*100/1.34</f>
        <v>11.194029850746269</v>
      </c>
    </row>
    <row r="13" spans="1:11" ht="30" customHeight="1" x14ac:dyDescent="0.25">
      <c r="C13" s="23" t="s">
        <v>21</v>
      </c>
      <c r="D13" s="24" t="s">
        <v>22</v>
      </c>
      <c r="E13" s="24" t="s">
        <v>23</v>
      </c>
      <c r="F13" s="24" t="s">
        <v>24</v>
      </c>
      <c r="G13" s="25" t="s">
        <v>25</v>
      </c>
    </row>
    <row r="14" spans="1:11" x14ac:dyDescent="0.25">
      <c r="C14" s="10">
        <v>1</v>
      </c>
      <c r="D14" s="10" t="str">
        <f>A5</f>
        <v>Pino</v>
      </c>
      <c r="E14" s="11" t="str">
        <f>A4</f>
        <v>Pinus sp.</v>
      </c>
      <c r="F14" s="12">
        <f>GETPIVOTDATA("No. Arbol",$A$3,"Nombre común","Pino","Especie","Pinus sp.")</f>
        <v>72</v>
      </c>
      <c r="G14" s="13">
        <f>F14/F15*100</f>
        <v>100</v>
      </c>
    </row>
    <row r="15" spans="1:11" x14ac:dyDescent="0.25">
      <c r="C15" s="73" t="s">
        <v>26</v>
      </c>
      <c r="D15" s="73"/>
      <c r="E15" s="73"/>
      <c r="F15" s="26">
        <f>SUM(F14:F14)</f>
        <v>72</v>
      </c>
      <c r="G15" s="27">
        <f>F15/F15*100</f>
        <v>100</v>
      </c>
    </row>
  </sheetData>
  <mergeCells count="1">
    <mergeCell ref="C15:E15"/>
  </mergeCell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5"/>
  <sheetViews>
    <sheetView topLeftCell="B1" workbookViewId="0">
      <selection activeCell="B5" sqref="B5"/>
    </sheetView>
  </sheetViews>
  <sheetFormatPr baseColWidth="10" defaultColWidth="11.42578125" defaultRowHeight="15" x14ac:dyDescent="0.25"/>
  <cols>
    <col min="1" max="1" width="16" customWidth="1"/>
    <col min="2" max="3" width="21.28515625" customWidth="1"/>
    <col min="4" max="4" width="22.140625" customWidth="1"/>
    <col min="5" max="5" width="15.140625" customWidth="1"/>
    <col min="6" max="6" width="21" customWidth="1"/>
    <col min="7" max="7" width="10.42578125" customWidth="1"/>
    <col min="8" max="8" width="10.28515625" customWidth="1"/>
    <col min="9" max="9" width="7.85546875" customWidth="1"/>
    <col min="10" max="10" width="8.85546875" customWidth="1"/>
  </cols>
  <sheetData>
    <row r="3" spans="1:12" x14ac:dyDescent="0.25">
      <c r="B3" s="5" t="s">
        <v>16</v>
      </c>
    </row>
    <row r="4" spans="1:12" x14ac:dyDescent="0.25">
      <c r="A4" s="5" t="s">
        <v>12</v>
      </c>
      <c r="B4" s="1" t="s">
        <v>15</v>
      </c>
      <c r="C4" s="1" t="s">
        <v>17</v>
      </c>
      <c r="D4" s="1" t="s">
        <v>18</v>
      </c>
      <c r="E4" s="1" t="s">
        <v>19</v>
      </c>
      <c r="F4" s="1" t="s">
        <v>20</v>
      </c>
    </row>
    <row r="5" spans="1:12" x14ac:dyDescent="0.25">
      <c r="A5" s="6" t="s">
        <v>55</v>
      </c>
      <c r="B5" s="9">
        <v>360</v>
      </c>
      <c r="C5" s="3">
        <v>14.458333333333334</v>
      </c>
      <c r="D5" s="3">
        <v>6.541666666666667</v>
      </c>
      <c r="E5" s="3">
        <v>6.1029506999999983</v>
      </c>
      <c r="F5" s="3">
        <v>17.204232596000004</v>
      </c>
    </row>
    <row r="6" spans="1:12" x14ac:dyDescent="0.25">
      <c r="A6" s="6" t="s">
        <v>13</v>
      </c>
      <c r="B6" s="9">
        <v>360</v>
      </c>
      <c r="C6" s="3">
        <v>14.458333333333334</v>
      </c>
      <c r="D6" s="3">
        <v>6.541666666666667</v>
      </c>
      <c r="E6" s="3">
        <v>6.1029506999999983</v>
      </c>
      <c r="F6" s="3">
        <v>17.204232596000004</v>
      </c>
    </row>
    <row r="7" spans="1:12" x14ac:dyDescent="0.25">
      <c r="L7">
        <f>2013-1977</f>
        <v>36</v>
      </c>
    </row>
    <row r="12" spans="1:12" x14ac:dyDescent="0.25">
      <c r="B12" s="78" t="s">
        <v>27</v>
      </c>
      <c r="C12" s="78" t="s">
        <v>28</v>
      </c>
      <c r="D12" s="75" t="s">
        <v>3</v>
      </c>
      <c r="E12" s="74" t="s">
        <v>15</v>
      </c>
      <c r="F12" s="74" t="s">
        <v>17</v>
      </c>
      <c r="G12" s="74" t="s">
        <v>18</v>
      </c>
      <c r="H12" s="74" t="s">
        <v>19</v>
      </c>
      <c r="I12" s="75" t="s">
        <v>29</v>
      </c>
      <c r="J12" s="75"/>
    </row>
    <row r="13" spans="1:12" x14ac:dyDescent="0.25">
      <c r="B13" s="78"/>
      <c r="C13" s="78"/>
      <c r="D13" s="75"/>
      <c r="E13" s="74"/>
      <c r="F13" s="74"/>
      <c r="G13" s="74"/>
      <c r="H13" s="74"/>
      <c r="I13" s="22" t="s">
        <v>30</v>
      </c>
      <c r="J13" s="22" t="s">
        <v>27</v>
      </c>
    </row>
    <row r="14" spans="1:12" x14ac:dyDescent="0.25">
      <c r="B14" s="76">
        <v>1</v>
      </c>
      <c r="C14" s="77">
        <v>1.87</v>
      </c>
      <c r="D14" s="14" t="str">
        <f>A5</f>
        <v>Pinus sp.</v>
      </c>
      <c r="E14" s="19">
        <f>GETPIVOTDATA("Suma de Densidad/Ha.",$A$3,"Especie","Pinus sp.")</f>
        <v>360</v>
      </c>
      <c r="F14" s="16">
        <f>GETPIVOTDATA("Promedio de DAP (cm)",$A$3,"Especie","Pinus sp.")</f>
        <v>14.458333333333334</v>
      </c>
      <c r="G14" s="16">
        <f>GETPIVOTDATA("Promedio de Altura (m)",$A$3,"Especie","Pinus sp.")</f>
        <v>6.541666666666667</v>
      </c>
      <c r="H14" s="16">
        <f>GETPIVOTDATA("Suma de AB/Ha.",$A$3,"Especie","Pinus sp.")</f>
        <v>6.1029506999999983</v>
      </c>
      <c r="I14" s="16">
        <f>GETPIVOTDATA("Suma de Volumen/Ha.",$A$3,"Especie","Pinus sp.")</f>
        <v>17.204232596000004</v>
      </c>
      <c r="J14" s="17">
        <f>I14*C14</f>
        <v>32.171914954520012</v>
      </c>
    </row>
    <row r="15" spans="1:12" x14ac:dyDescent="0.25">
      <c r="B15" s="76"/>
      <c r="C15" s="77"/>
      <c r="D15" s="20" t="s">
        <v>13</v>
      </c>
      <c r="E15" s="21">
        <f>SUM(E14:E14)</f>
        <v>360</v>
      </c>
      <c r="F15" s="67">
        <f>GETPIVOTDATA("Promedio de DAP (cm)",$A$3)</f>
        <v>14.458333333333334</v>
      </c>
      <c r="G15" s="67">
        <f>GETPIVOTDATA("Promedio de Altura (m)",$A$3)</f>
        <v>6.541666666666667</v>
      </c>
      <c r="H15" s="67">
        <f>GETPIVOTDATA("Suma de AB/Ha.",$A$3)</f>
        <v>6.1029506999999983</v>
      </c>
      <c r="I15" s="67">
        <f>GETPIVOTDATA("Suma de Volumen/Ha.",$A$3)</f>
        <v>17.204232596000004</v>
      </c>
      <c r="J15" s="67">
        <f>I15*1.87</f>
        <v>32.171914954520012</v>
      </c>
    </row>
  </sheetData>
  <mergeCells count="10">
    <mergeCell ref="H12:H13"/>
    <mergeCell ref="I12:J12"/>
    <mergeCell ref="B14:B15"/>
    <mergeCell ref="C14:C15"/>
    <mergeCell ref="B12:B13"/>
    <mergeCell ref="C12:C13"/>
    <mergeCell ref="D12:D13"/>
    <mergeCell ref="E12:E13"/>
    <mergeCell ref="F12:F13"/>
    <mergeCell ref="G12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F5" sqref="F5:F8"/>
    </sheetView>
  </sheetViews>
  <sheetFormatPr baseColWidth="10" defaultColWidth="11.42578125" defaultRowHeight="15" x14ac:dyDescent="0.25"/>
  <cols>
    <col min="1" max="1" width="18.42578125" bestFit="1" customWidth="1"/>
    <col min="2" max="2" width="13" bestFit="1" customWidth="1"/>
    <col min="3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3" spans="1:7" x14ac:dyDescent="0.25">
      <c r="B3" s="5" t="s">
        <v>16</v>
      </c>
    </row>
    <row r="4" spans="1:7" ht="30" x14ac:dyDescent="0.25">
      <c r="A4" s="54" t="s">
        <v>32</v>
      </c>
      <c r="B4" s="33" t="s">
        <v>15</v>
      </c>
      <c r="C4" s="33" t="s">
        <v>17</v>
      </c>
      <c r="D4" s="33" t="s">
        <v>18</v>
      </c>
      <c r="E4" s="33" t="s">
        <v>19</v>
      </c>
      <c r="F4" s="54" t="s">
        <v>20</v>
      </c>
      <c r="G4" s="25" t="s">
        <v>31</v>
      </c>
    </row>
    <row r="5" spans="1:7" x14ac:dyDescent="0.25">
      <c r="A5" s="53">
        <v>1</v>
      </c>
      <c r="B5" s="30">
        <v>80</v>
      </c>
      <c r="C5" s="31">
        <v>15.4375</v>
      </c>
      <c r="D5" s="31">
        <v>6.875</v>
      </c>
      <c r="E5" s="31">
        <v>1.5350643000000002</v>
      </c>
      <c r="F5" s="52">
        <v>4.3979207260000006</v>
      </c>
      <c r="G5" s="32">
        <f>F5*1.87</f>
        <v>8.2241117576200011</v>
      </c>
    </row>
    <row r="6" spans="1:7" x14ac:dyDescent="0.25">
      <c r="A6" s="53">
        <v>2</v>
      </c>
      <c r="B6" s="30">
        <v>105</v>
      </c>
      <c r="C6" s="31">
        <v>13.904761904761905</v>
      </c>
      <c r="D6" s="31">
        <v>6.333333333333333</v>
      </c>
      <c r="E6" s="31">
        <v>1.6234218</v>
      </c>
      <c r="F6" s="52">
        <v>4.3443083079999996</v>
      </c>
      <c r="G6" s="32">
        <f>F6*1.87</f>
        <v>8.1238565359599999</v>
      </c>
    </row>
    <row r="7" spans="1:7" x14ac:dyDescent="0.25">
      <c r="A7" s="53">
        <v>3</v>
      </c>
      <c r="B7" s="30">
        <v>75</v>
      </c>
      <c r="C7" s="31">
        <v>15.466666666666667</v>
      </c>
      <c r="D7" s="31">
        <v>7.333333333333333</v>
      </c>
      <c r="E7" s="31">
        <v>1.4671272000000002</v>
      </c>
      <c r="F7" s="52">
        <v>4.4903682659999991</v>
      </c>
      <c r="G7" s="32">
        <f>F7*1.87</f>
        <v>8.3969886574199979</v>
      </c>
    </row>
    <row r="8" spans="1:7" x14ac:dyDescent="0.25">
      <c r="A8" s="53">
        <v>4</v>
      </c>
      <c r="B8" s="30">
        <v>100</v>
      </c>
      <c r="C8" s="31">
        <v>13.5</v>
      </c>
      <c r="D8" s="31">
        <v>5.9</v>
      </c>
      <c r="E8" s="31">
        <v>1.4773374000000001</v>
      </c>
      <c r="F8" s="52">
        <v>3.9716352959999996</v>
      </c>
      <c r="G8" s="61">
        <f>F8*1.87</f>
        <v>7.4269580035199994</v>
      </c>
    </row>
    <row r="9" spans="1:7" x14ac:dyDescent="0.25">
      <c r="A9" s="56" t="s">
        <v>13</v>
      </c>
      <c r="B9" s="34">
        <v>360</v>
      </c>
      <c r="C9" s="35">
        <v>14.458333333333334</v>
      </c>
      <c r="D9" s="35">
        <v>6.541666666666667</v>
      </c>
      <c r="E9" s="35">
        <v>6.1029506999999983</v>
      </c>
      <c r="F9" s="55">
        <v>17.204232596000004</v>
      </c>
      <c r="G9" s="36">
        <f>F9*1.87</f>
        <v>32.171914954520012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topLeftCell="B1" workbookViewId="0">
      <selection activeCell="F5" sqref="F5"/>
    </sheetView>
  </sheetViews>
  <sheetFormatPr baseColWidth="10" defaultColWidth="11.42578125" defaultRowHeight="15" x14ac:dyDescent="0.25"/>
  <cols>
    <col min="1" max="1" width="18.85546875" customWidth="1"/>
    <col min="2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3" spans="1:8" x14ac:dyDescent="0.25">
      <c r="B3" s="5" t="s">
        <v>16</v>
      </c>
    </row>
    <row r="4" spans="1:8" ht="45" x14ac:dyDescent="0.25">
      <c r="A4" s="54" t="s">
        <v>34</v>
      </c>
      <c r="B4" s="33" t="s">
        <v>15</v>
      </c>
      <c r="C4" s="33" t="s">
        <v>17</v>
      </c>
      <c r="D4" s="33" t="s">
        <v>18</v>
      </c>
      <c r="E4" s="33" t="s">
        <v>19</v>
      </c>
      <c r="F4" s="54" t="s">
        <v>20</v>
      </c>
      <c r="G4" s="38" t="s">
        <v>33</v>
      </c>
    </row>
    <row r="5" spans="1:8" x14ac:dyDescent="0.25">
      <c r="A5" s="50" t="s">
        <v>55</v>
      </c>
      <c r="B5" s="28">
        <v>360</v>
      </c>
      <c r="C5" s="29">
        <v>14.458333333333334</v>
      </c>
      <c r="D5" s="29">
        <v>6.541666666666667</v>
      </c>
      <c r="E5" s="29">
        <v>6.1029506999999983</v>
      </c>
      <c r="F5" s="51">
        <v>17.204232596000001</v>
      </c>
      <c r="G5" s="18">
        <f>F5*1.87</f>
        <v>32.171914954520005</v>
      </c>
    </row>
    <row r="6" spans="1:8" x14ac:dyDescent="0.25">
      <c r="A6" s="7" t="s">
        <v>53</v>
      </c>
      <c r="B6" s="28">
        <v>340</v>
      </c>
      <c r="C6" s="29">
        <v>14.132352941176471</v>
      </c>
      <c r="D6" s="29">
        <v>6.3529411764705879</v>
      </c>
      <c r="E6" s="29">
        <v>5.4746306999999996</v>
      </c>
      <c r="F6" s="51">
        <v>14.871403460000003</v>
      </c>
      <c r="G6" s="18">
        <f t="shared" ref="G6:G8" si="0">F6*1.87</f>
        <v>27.809524470200007</v>
      </c>
    </row>
    <row r="7" spans="1:8" x14ac:dyDescent="0.25">
      <c r="A7" s="7" t="s">
        <v>54</v>
      </c>
      <c r="B7" s="28">
        <v>20</v>
      </c>
      <c r="C7" s="29">
        <v>20</v>
      </c>
      <c r="D7" s="29">
        <v>9.75</v>
      </c>
      <c r="E7" s="29">
        <v>0.6283200000000001</v>
      </c>
      <c r="F7" s="51">
        <v>2.332829136</v>
      </c>
      <c r="G7" s="18">
        <f t="shared" si="0"/>
        <v>4.3623904843200005</v>
      </c>
    </row>
    <row r="8" spans="1:8" x14ac:dyDescent="0.25">
      <c r="A8" s="57" t="s">
        <v>13</v>
      </c>
      <c r="B8" s="48">
        <v>360</v>
      </c>
      <c r="C8" s="49">
        <v>14.458333333333334</v>
      </c>
      <c r="D8" s="49">
        <v>6.541666666666667</v>
      </c>
      <c r="E8" s="49">
        <v>6.1029506999999983</v>
      </c>
      <c r="F8" s="66">
        <v>17.204232596000001</v>
      </c>
      <c r="G8" s="37">
        <f t="shared" si="0"/>
        <v>32.171914954520005</v>
      </c>
    </row>
    <row r="9" spans="1:8" x14ac:dyDescent="0.25">
      <c r="F9" s="58"/>
      <c r="G9" s="59"/>
      <c r="H9" s="58"/>
    </row>
    <row r="10" spans="1:8" x14ac:dyDescent="0.25">
      <c r="F10" s="58"/>
      <c r="G10" s="60"/>
      <c r="H10" s="58"/>
    </row>
    <row r="11" spans="1:8" x14ac:dyDescent="0.25">
      <c r="F11" s="58"/>
      <c r="G11" s="60"/>
      <c r="H11" s="58"/>
    </row>
    <row r="12" spans="1:8" x14ac:dyDescent="0.25">
      <c r="F12" s="58"/>
      <c r="G12" s="59"/>
      <c r="H12" s="58"/>
    </row>
    <row r="13" spans="1:8" x14ac:dyDescent="0.25">
      <c r="F13" s="58"/>
      <c r="G13" s="58"/>
      <c r="H13" s="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H10" sqref="H10"/>
    </sheetView>
  </sheetViews>
  <sheetFormatPr baseColWidth="10" defaultColWidth="11.42578125" defaultRowHeight="15" x14ac:dyDescent="0.25"/>
  <cols>
    <col min="5" max="5" width="21.140625" customWidth="1"/>
    <col min="6" max="6" width="12.85546875" customWidth="1"/>
  </cols>
  <sheetData>
    <row r="3" spans="2:6" x14ac:dyDescent="0.25">
      <c r="B3" s="79" t="s">
        <v>35</v>
      </c>
      <c r="C3" s="79"/>
      <c r="D3" s="39" t="s">
        <v>36</v>
      </c>
      <c r="E3" s="39" t="s">
        <v>37</v>
      </c>
      <c r="F3" s="40" t="s">
        <v>38</v>
      </c>
    </row>
    <row r="4" spans="2:6" x14ac:dyDescent="0.25">
      <c r="B4" s="79"/>
      <c r="C4" s="79"/>
      <c r="D4" s="41">
        <v>1.87</v>
      </c>
      <c r="E4" s="41">
        <v>2.3530000000000002</v>
      </c>
      <c r="F4" s="41">
        <v>4</v>
      </c>
    </row>
    <row r="5" spans="2:6" x14ac:dyDescent="0.25">
      <c r="B5" s="39" t="s">
        <v>39</v>
      </c>
      <c r="C5" s="39" t="s">
        <v>40</v>
      </c>
      <c r="D5" s="39" t="s">
        <v>41</v>
      </c>
      <c r="E5" s="39" t="s">
        <v>42</v>
      </c>
      <c r="F5" s="39" t="s">
        <v>43</v>
      </c>
    </row>
    <row r="6" spans="2:6" x14ac:dyDescent="0.25">
      <c r="B6" s="39">
        <v>1</v>
      </c>
      <c r="C6" s="52">
        <v>4.3979207260000006</v>
      </c>
      <c r="D6" s="42">
        <f>C6*C6</f>
        <v>19.341706712180372</v>
      </c>
      <c r="E6" s="39" t="s">
        <v>44</v>
      </c>
      <c r="F6" s="43">
        <f>C16/F4</f>
        <v>4.7391763444999997</v>
      </c>
    </row>
    <row r="7" spans="2:6" x14ac:dyDescent="0.25">
      <c r="B7" s="39">
        <v>2</v>
      </c>
      <c r="C7" s="52">
        <v>4.3443083079999996</v>
      </c>
      <c r="D7" s="42">
        <f>C7*C7</f>
        <v>18.873014674957819</v>
      </c>
      <c r="E7" s="39" t="s">
        <v>45</v>
      </c>
      <c r="F7" s="44">
        <f>(((D16)-((C16*C16)/F4))/(F4-1))</f>
        <v>0.43479071432977889</v>
      </c>
    </row>
    <row r="8" spans="2:6" x14ac:dyDescent="0.25">
      <c r="B8" s="39">
        <v>3</v>
      </c>
      <c r="C8" s="52">
        <v>4.4903682659999991</v>
      </c>
      <c r="D8" s="42">
        <f>C8*C8</f>
        <v>20.163407164299837</v>
      </c>
      <c r="E8" s="39" t="s">
        <v>46</v>
      </c>
      <c r="F8" s="44">
        <f>SQRT(F7)</f>
        <v>0.6593866197685383</v>
      </c>
    </row>
    <row r="9" spans="2:6" x14ac:dyDescent="0.25">
      <c r="B9" s="39">
        <v>4</v>
      </c>
      <c r="C9" s="52">
        <v>5.7241080779999978</v>
      </c>
      <c r="D9" s="42">
        <f t="shared" ref="D9:D15" si="0">C9*C9</f>
        <v>32.765413288624828</v>
      </c>
      <c r="E9" s="39" t="s">
        <v>47</v>
      </c>
      <c r="F9" s="44">
        <f>SQRT(((F7)/F4)*(1-((F4)/(D4*10))))</f>
        <v>0.29231291152454059</v>
      </c>
    </row>
    <row r="10" spans="2:6" x14ac:dyDescent="0.25">
      <c r="B10" s="39"/>
      <c r="C10" s="15"/>
      <c r="D10" s="42">
        <f t="shared" si="0"/>
        <v>0</v>
      </c>
      <c r="E10" s="39" t="s">
        <v>48</v>
      </c>
      <c r="F10" s="44">
        <f>F9*E4</f>
        <v>0.6878122808172441</v>
      </c>
    </row>
    <row r="11" spans="2:6" x14ac:dyDescent="0.25">
      <c r="B11" s="39"/>
      <c r="C11" s="45"/>
      <c r="D11" s="42">
        <f t="shared" si="0"/>
        <v>0</v>
      </c>
      <c r="E11" s="39" t="s">
        <v>48</v>
      </c>
      <c r="F11" s="46">
        <f>((F10)/F6)</f>
        <v>0.14513329549669055</v>
      </c>
    </row>
    <row r="12" spans="2:6" x14ac:dyDescent="0.25">
      <c r="B12" s="39"/>
      <c r="C12" s="45"/>
      <c r="D12" s="42">
        <f t="shared" si="0"/>
        <v>0</v>
      </c>
      <c r="E12" s="39" t="s">
        <v>49</v>
      </c>
      <c r="F12" s="44">
        <f>F6+F10</f>
        <v>5.4269886253172439</v>
      </c>
    </row>
    <row r="13" spans="2:6" x14ac:dyDescent="0.25">
      <c r="B13" s="39"/>
      <c r="C13" s="45"/>
      <c r="D13" s="42">
        <f t="shared" si="0"/>
        <v>0</v>
      </c>
      <c r="E13" s="39" t="s">
        <v>50</v>
      </c>
      <c r="F13" s="44">
        <f>F6-F10</f>
        <v>4.0513640636827555</v>
      </c>
    </row>
    <row r="14" spans="2:6" x14ac:dyDescent="0.25">
      <c r="B14" s="39"/>
      <c r="C14" s="45"/>
      <c r="D14" s="42">
        <f t="shared" si="0"/>
        <v>0</v>
      </c>
      <c r="E14" s="39"/>
      <c r="F14" s="44"/>
    </row>
    <row r="15" spans="2:6" x14ac:dyDescent="0.25">
      <c r="B15" s="39"/>
      <c r="C15" s="45"/>
      <c r="D15" s="42">
        <f t="shared" si="0"/>
        <v>0</v>
      </c>
      <c r="E15" s="39"/>
      <c r="F15" s="44"/>
    </row>
    <row r="16" spans="2:6" x14ac:dyDescent="0.25">
      <c r="B16" s="39" t="s">
        <v>51</v>
      </c>
      <c r="C16" s="47">
        <f>SUM(C6:C15)</f>
        <v>18.956705377999999</v>
      </c>
      <c r="D16" s="47">
        <f>SUM(D6:D15)</f>
        <v>91.143541840062852</v>
      </c>
      <c r="E16" s="39"/>
      <c r="F16" s="39"/>
    </row>
  </sheetData>
  <mergeCells count="1">
    <mergeCell ref="B3:C4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15" sqref="G15"/>
    </sheetView>
  </sheetViews>
  <sheetFormatPr baseColWidth="10" defaultColWidth="11.42578125" defaultRowHeight="15" x14ac:dyDescent="0.25"/>
  <sheetData>
    <row r="1" spans="1:3" x14ac:dyDescent="0.25">
      <c r="A1" s="68" t="s">
        <v>21</v>
      </c>
      <c r="B1" s="68" t="s">
        <v>59</v>
      </c>
      <c r="C1" s="68" t="s">
        <v>60</v>
      </c>
    </row>
    <row r="2" spans="1:3" x14ac:dyDescent="0.25">
      <c r="A2" s="1">
        <v>1</v>
      </c>
      <c r="B2" s="1">
        <v>396961</v>
      </c>
      <c r="C2" s="1">
        <v>1719073</v>
      </c>
    </row>
    <row r="3" spans="1:3" x14ac:dyDescent="0.25">
      <c r="A3" s="1">
        <v>2</v>
      </c>
      <c r="B3" s="1">
        <v>396874</v>
      </c>
      <c r="C3" s="1">
        <v>1719044</v>
      </c>
    </row>
    <row r="4" spans="1:3" x14ac:dyDescent="0.25">
      <c r="A4" s="1">
        <v>3</v>
      </c>
      <c r="B4" s="1">
        <v>396866</v>
      </c>
      <c r="C4" s="1">
        <v>1719237</v>
      </c>
    </row>
    <row r="5" spans="1:3" x14ac:dyDescent="0.25">
      <c r="A5" s="1">
        <v>4</v>
      </c>
      <c r="B5" s="1">
        <v>396969</v>
      </c>
      <c r="C5" s="1">
        <v>1719274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E3" sqref="E3"/>
    </sheetView>
  </sheetViews>
  <sheetFormatPr baseColWidth="10" defaultColWidth="11.42578125" defaultRowHeight="15" x14ac:dyDescent="0.25"/>
  <cols>
    <col min="1" max="1" width="11.42578125" style="1"/>
    <col min="8" max="8" width="27.140625" bestFit="1" customWidth="1"/>
  </cols>
  <sheetData>
    <row r="1" spans="1:11" x14ac:dyDescent="0.25">
      <c r="A1" s="71" t="s">
        <v>66</v>
      </c>
      <c r="B1" s="68" t="s">
        <v>21</v>
      </c>
      <c r="C1" s="68" t="s">
        <v>59</v>
      </c>
      <c r="D1" s="68" t="s">
        <v>60</v>
      </c>
      <c r="E1" s="69" t="s">
        <v>62</v>
      </c>
      <c r="F1" s="69" t="s">
        <v>63</v>
      </c>
      <c r="G1" s="69" t="s">
        <v>64</v>
      </c>
      <c r="H1" s="71" t="s">
        <v>67</v>
      </c>
      <c r="I1" s="71" t="s">
        <v>68</v>
      </c>
      <c r="J1" s="71" t="s">
        <v>69</v>
      </c>
      <c r="K1" s="69" t="s">
        <v>65</v>
      </c>
    </row>
    <row r="2" spans="1:11" x14ac:dyDescent="0.25">
      <c r="A2" s="72" t="s">
        <v>70</v>
      </c>
      <c r="B2" s="1">
        <v>1</v>
      </c>
      <c r="C2" s="1">
        <v>396929</v>
      </c>
      <c r="D2" s="1">
        <v>1719128</v>
      </c>
      <c r="E2">
        <f>500/10000</f>
        <v>0.05</v>
      </c>
      <c r="G2" s="70">
        <v>41306</v>
      </c>
      <c r="K2" t="s">
        <v>61</v>
      </c>
    </row>
    <row r="3" spans="1:11" x14ac:dyDescent="0.25">
      <c r="A3" s="72" t="s">
        <v>70</v>
      </c>
      <c r="B3" s="1">
        <v>2</v>
      </c>
      <c r="C3" s="1">
        <v>396915</v>
      </c>
      <c r="D3" s="1">
        <v>1719168</v>
      </c>
      <c r="E3" s="1">
        <f t="shared" ref="E3:E5" si="0">500/10000</f>
        <v>0.05</v>
      </c>
      <c r="G3" s="70">
        <v>41306</v>
      </c>
      <c r="K3" s="1" t="s">
        <v>61</v>
      </c>
    </row>
    <row r="4" spans="1:11" x14ac:dyDescent="0.25">
      <c r="A4" s="72" t="s">
        <v>70</v>
      </c>
      <c r="B4" s="1">
        <v>3</v>
      </c>
      <c r="C4" s="1">
        <v>396900</v>
      </c>
      <c r="D4" s="1">
        <v>1719073</v>
      </c>
      <c r="E4" s="1">
        <f t="shared" si="0"/>
        <v>0.05</v>
      </c>
      <c r="G4" s="70">
        <v>41306</v>
      </c>
      <c r="K4" s="1" t="s">
        <v>61</v>
      </c>
    </row>
    <row r="5" spans="1:11" x14ac:dyDescent="0.25">
      <c r="A5" s="72" t="s">
        <v>70</v>
      </c>
      <c r="B5" s="1">
        <v>4</v>
      </c>
      <c r="C5" s="1">
        <v>396920</v>
      </c>
      <c r="D5" s="1">
        <v>1719245</v>
      </c>
      <c r="E5" s="1">
        <f t="shared" si="0"/>
        <v>0.05</v>
      </c>
      <c r="G5" s="70">
        <v>41306</v>
      </c>
      <c r="K5" s="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base de datos</vt:lpstr>
      <vt:lpstr>% de abundancia</vt:lpstr>
      <vt:lpstr>cuadro 3</vt:lpstr>
      <vt:lpstr>anexo 2</vt:lpstr>
      <vt:lpstr>anexo 3</vt:lpstr>
      <vt:lpstr>analisis</vt:lpstr>
      <vt:lpstr>P. referencia</vt:lpstr>
      <vt:lpstr>Parcelas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DangerGo</cp:lastModifiedBy>
  <cp:lastPrinted>2013-10-30T04:25:04Z</cp:lastPrinted>
  <dcterms:created xsi:type="dcterms:W3CDTF">2013-02-20T15:36:32Z</dcterms:created>
  <dcterms:modified xsi:type="dcterms:W3CDTF">2017-03-27T00:06:39Z</dcterms:modified>
</cp:coreProperties>
</file>