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xr:revisionPtr revIDLastSave="58" documentId="8_{3A791DC0-4E78-455D-B14D-570394F4AE94}" xr6:coauthVersionLast="45" xr6:coauthVersionMax="45" xr10:uidLastSave="{ED12616D-3FF3-4513-B18F-C250262F8901}"/>
  <bookViews>
    <workbookView xWindow="-120" yWindow="-120" windowWidth="20730" windowHeight="11160" xr2:uid="{00000000-000D-0000-FFFF-FFFF00000000}"/>
  </bookViews>
  <sheets>
    <sheet name="Test Results" sheetId="5" r:id="rId1"/>
    <sheet name="Sheet1" sheetId="13" r:id="rId2"/>
    <sheet name="Profile" sheetId="4" r:id="rId3"/>
    <sheet name="Fuelling" sheetId="6" r:id="rId4"/>
    <sheet name="Meal Builder" sheetId="12" r:id="rId5"/>
    <sheet name="Servings" sheetId="11" state="hidden" r:id="rId6"/>
  </sheets>
  <definedNames>
    <definedName name="m">min_g+max_g</definedName>
    <definedName name="max_g">'Test Results'!$D$7</definedName>
    <definedName name="min_g">'Test Results'!$C$7</definedName>
    <definedName name="_xlnm.Print_Area" localSheetId="2">Profile!$C$5:$N$62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3" l="1"/>
  <c r="D14" i="13"/>
  <c r="C16" i="13" s="1"/>
  <c r="E14" i="13"/>
  <c r="D7" i="6" l="1"/>
  <c r="E16" i="6"/>
  <c r="T9" i="5" l="1"/>
  <c r="Q10" i="5" l="1"/>
  <c r="K20" i="5"/>
  <c r="J20" i="5"/>
  <c r="H20" i="5"/>
  <c r="G20" i="5"/>
  <c r="E20" i="5"/>
  <c r="J22" i="5" l="1"/>
  <c r="L12" i="4"/>
  <c r="L11" i="4"/>
  <c r="H22" i="5"/>
  <c r="L13" i="4" s="1"/>
  <c r="L14" i="4" s="1"/>
  <c r="L9" i="4"/>
  <c r="M9" i="4"/>
  <c r="M12" i="4"/>
  <c r="J23" i="5" l="1"/>
  <c r="M13" i="4"/>
  <c r="M14" i="4" s="1"/>
  <c r="M11" i="4"/>
  <c r="K41" i="4" l="1"/>
  <c r="K40" i="4"/>
  <c r="T8" i="5"/>
  <c r="S9" i="5" s="1"/>
  <c r="J40" i="4" s="1"/>
  <c r="T7" i="5"/>
  <c r="K38" i="4" s="1"/>
  <c r="T6" i="5"/>
  <c r="K37" i="4" s="1"/>
  <c r="S5" i="5"/>
  <c r="J36" i="4" s="1"/>
  <c r="L30" i="4"/>
  <c r="K12" i="4"/>
  <c r="K11" i="4"/>
  <c r="S6" i="5" l="1"/>
  <c r="J37" i="4" s="1"/>
  <c r="S10" i="5"/>
  <c r="J41" i="4" s="1"/>
  <c r="S8" i="5"/>
  <c r="J39" i="4" s="1"/>
  <c r="K39" i="4"/>
  <c r="S7" i="5"/>
  <c r="J38" i="4" s="1"/>
  <c r="K22" i="5"/>
  <c r="K23" i="5" s="1"/>
  <c r="C20" i="5"/>
  <c r="C22" i="5" s="1"/>
  <c r="C23" i="5" s="1"/>
  <c r="F14" i="4" s="1"/>
  <c r="K13" i="4" l="1"/>
  <c r="K14" i="4" s="1"/>
  <c r="D40" i="6"/>
  <c r="H150" i="12"/>
  <c r="G150" i="12"/>
  <c r="F150" i="12"/>
  <c r="E150" i="12"/>
  <c r="D150" i="12"/>
  <c r="H149" i="12"/>
  <c r="G149" i="12"/>
  <c r="F149" i="12"/>
  <c r="E149" i="12"/>
  <c r="D149" i="12"/>
  <c r="H148" i="12"/>
  <c r="G148" i="12"/>
  <c r="F148" i="12"/>
  <c r="E148" i="12"/>
  <c r="D148" i="12"/>
  <c r="H147" i="12"/>
  <c r="G147" i="12"/>
  <c r="F147" i="12"/>
  <c r="E147" i="12"/>
  <c r="D147" i="12"/>
  <c r="H141" i="12"/>
  <c r="I141" i="12" s="1"/>
  <c r="G141" i="12"/>
  <c r="F141" i="12"/>
  <c r="E141" i="12"/>
  <c r="D141" i="12"/>
  <c r="H140" i="12"/>
  <c r="I140" i="12" s="1"/>
  <c r="G140" i="12"/>
  <c r="F140" i="12"/>
  <c r="E140" i="12"/>
  <c r="D140" i="12"/>
  <c r="H139" i="12"/>
  <c r="I139" i="12" s="1"/>
  <c r="G139" i="12"/>
  <c r="F139" i="12"/>
  <c r="E139" i="12"/>
  <c r="D139" i="12"/>
  <c r="H138" i="12"/>
  <c r="I138" i="12" s="1"/>
  <c r="G138" i="12"/>
  <c r="F138" i="12"/>
  <c r="E138" i="12"/>
  <c r="D138" i="12"/>
  <c r="H124" i="12"/>
  <c r="I124" i="12" s="1"/>
  <c r="G124" i="12"/>
  <c r="F124" i="12"/>
  <c r="E124" i="12"/>
  <c r="D124" i="12"/>
  <c r="H123" i="12"/>
  <c r="I123" i="12" s="1"/>
  <c r="G123" i="12"/>
  <c r="F123" i="12"/>
  <c r="E123" i="12"/>
  <c r="D123" i="12"/>
  <c r="H122" i="12"/>
  <c r="I122" i="12" s="1"/>
  <c r="G122" i="12"/>
  <c r="F122" i="12"/>
  <c r="E122" i="12"/>
  <c r="D122" i="12"/>
  <c r="H121" i="12"/>
  <c r="I121" i="12" s="1"/>
  <c r="G121" i="12"/>
  <c r="F121" i="12"/>
  <c r="E121" i="12"/>
  <c r="D121" i="12"/>
  <c r="H115" i="12"/>
  <c r="G115" i="12"/>
  <c r="F115" i="12"/>
  <c r="E115" i="12"/>
  <c r="D115" i="12"/>
  <c r="H114" i="12"/>
  <c r="G114" i="12"/>
  <c r="F114" i="12"/>
  <c r="E114" i="12"/>
  <c r="D114" i="12"/>
  <c r="H113" i="12"/>
  <c r="G113" i="12"/>
  <c r="F113" i="12"/>
  <c r="E113" i="12"/>
  <c r="D113" i="12"/>
  <c r="H112" i="12"/>
  <c r="G112" i="12"/>
  <c r="F112" i="12"/>
  <c r="E112" i="12"/>
  <c r="D112" i="12"/>
  <c r="H98" i="12"/>
  <c r="G98" i="12"/>
  <c r="F98" i="12"/>
  <c r="E98" i="12"/>
  <c r="D98" i="12"/>
  <c r="H97" i="12"/>
  <c r="G97" i="12"/>
  <c r="F97" i="12"/>
  <c r="E97" i="12"/>
  <c r="D97" i="12"/>
  <c r="H96" i="12"/>
  <c r="G96" i="12"/>
  <c r="F96" i="12"/>
  <c r="E96" i="12"/>
  <c r="D96" i="12"/>
  <c r="H95" i="12"/>
  <c r="G95" i="12"/>
  <c r="F95" i="12"/>
  <c r="E95" i="12"/>
  <c r="D95" i="12"/>
  <c r="H89" i="12"/>
  <c r="G89" i="12"/>
  <c r="F89" i="12"/>
  <c r="E89" i="12"/>
  <c r="D89" i="12"/>
  <c r="H88" i="12"/>
  <c r="G88" i="12"/>
  <c r="F88" i="12"/>
  <c r="E88" i="12"/>
  <c r="D88" i="12"/>
  <c r="H87" i="12"/>
  <c r="G87" i="12"/>
  <c r="F87" i="12"/>
  <c r="E87" i="12"/>
  <c r="D87" i="12"/>
  <c r="H86" i="12"/>
  <c r="G86" i="12"/>
  <c r="F86" i="12"/>
  <c r="E86" i="12"/>
  <c r="D86" i="12"/>
  <c r="H72" i="12"/>
  <c r="I72" i="12" s="1"/>
  <c r="G72" i="12"/>
  <c r="F72" i="12"/>
  <c r="E72" i="12"/>
  <c r="D72" i="12"/>
  <c r="H71" i="12"/>
  <c r="I71" i="12" s="1"/>
  <c r="G71" i="12"/>
  <c r="F71" i="12"/>
  <c r="E71" i="12"/>
  <c r="D71" i="12"/>
  <c r="H70" i="12"/>
  <c r="I70" i="12" s="1"/>
  <c r="G70" i="12"/>
  <c r="F70" i="12"/>
  <c r="E70" i="12"/>
  <c r="D70" i="12"/>
  <c r="H69" i="12"/>
  <c r="I69" i="12" s="1"/>
  <c r="G69" i="12"/>
  <c r="F69" i="12"/>
  <c r="E69" i="12"/>
  <c r="D69" i="12"/>
  <c r="H63" i="12"/>
  <c r="G63" i="12"/>
  <c r="F63" i="12"/>
  <c r="E63" i="12"/>
  <c r="D63" i="12"/>
  <c r="H62" i="12"/>
  <c r="G62" i="12"/>
  <c r="F62" i="12"/>
  <c r="E62" i="12"/>
  <c r="D62" i="12"/>
  <c r="H61" i="12"/>
  <c r="G61" i="12"/>
  <c r="F61" i="12"/>
  <c r="E61" i="12"/>
  <c r="D61" i="12"/>
  <c r="H60" i="12"/>
  <c r="H64" i="12" s="1"/>
  <c r="G60" i="12"/>
  <c r="F60" i="12"/>
  <c r="E60" i="12"/>
  <c r="D60" i="12"/>
  <c r="H46" i="12"/>
  <c r="I46" i="12" s="1"/>
  <c r="G46" i="12"/>
  <c r="F46" i="12"/>
  <c r="E46" i="12"/>
  <c r="D46" i="12"/>
  <c r="H45" i="12"/>
  <c r="I45" i="12" s="1"/>
  <c r="G45" i="12"/>
  <c r="F45" i="12"/>
  <c r="E45" i="12"/>
  <c r="D45" i="12"/>
  <c r="H44" i="12"/>
  <c r="I44" i="12" s="1"/>
  <c r="G44" i="12"/>
  <c r="F44" i="12"/>
  <c r="E44" i="12"/>
  <c r="D44" i="12"/>
  <c r="H43" i="12"/>
  <c r="I43" i="12" s="1"/>
  <c r="G43" i="12"/>
  <c r="F43" i="12"/>
  <c r="E43" i="12"/>
  <c r="D43" i="12"/>
  <c r="H37" i="12"/>
  <c r="G37" i="12"/>
  <c r="F37" i="12"/>
  <c r="E37" i="12"/>
  <c r="D37" i="12"/>
  <c r="H36" i="12"/>
  <c r="G36" i="12"/>
  <c r="F36" i="12"/>
  <c r="E36" i="12"/>
  <c r="D36" i="12"/>
  <c r="H35" i="12"/>
  <c r="G35" i="12"/>
  <c r="F35" i="12"/>
  <c r="E35" i="12"/>
  <c r="D35" i="12"/>
  <c r="H34" i="12"/>
  <c r="G34" i="12"/>
  <c r="F34" i="12"/>
  <c r="E34" i="12"/>
  <c r="D34" i="12"/>
  <c r="H20" i="12"/>
  <c r="G20" i="12"/>
  <c r="F20" i="12"/>
  <c r="E20" i="12"/>
  <c r="D20" i="12"/>
  <c r="I20" i="12" s="1"/>
  <c r="H19" i="12"/>
  <c r="G19" i="12"/>
  <c r="F19" i="12"/>
  <c r="E19" i="12"/>
  <c r="D19" i="12"/>
  <c r="I19" i="12" s="1"/>
  <c r="H18" i="12"/>
  <c r="G18" i="12"/>
  <c r="F18" i="12"/>
  <c r="E18" i="12"/>
  <c r="D18" i="12"/>
  <c r="I18" i="12" s="1"/>
  <c r="H17" i="12"/>
  <c r="G17" i="12"/>
  <c r="F17" i="12"/>
  <c r="E17" i="12"/>
  <c r="D17" i="12"/>
  <c r="I17" i="12" s="1"/>
  <c r="H11" i="12"/>
  <c r="G11" i="12"/>
  <c r="F11" i="12"/>
  <c r="E11" i="12"/>
  <c r="D11" i="12"/>
  <c r="H10" i="12"/>
  <c r="G10" i="12"/>
  <c r="F10" i="12"/>
  <c r="E10" i="12"/>
  <c r="D10" i="12"/>
  <c r="H9" i="12"/>
  <c r="G9" i="12"/>
  <c r="F9" i="12"/>
  <c r="E9" i="12"/>
  <c r="D9" i="12"/>
  <c r="H8" i="12"/>
  <c r="G8" i="12"/>
  <c r="F8" i="12"/>
  <c r="E8" i="12"/>
  <c r="D8" i="12"/>
  <c r="I97" i="12" l="1"/>
  <c r="I98" i="12"/>
  <c r="I96" i="12"/>
  <c r="I95" i="12"/>
  <c r="I60" i="12"/>
  <c r="D75" i="12" s="1"/>
  <c r="I37" i="12"/>
  <c r="D52" i="12" s="1"/>
  <c r="I9" i="12"/>
  <c r="D24" i="12" s="1"/>
  <c r="I35" i="12"/>
  <c r="D50" i="12" s="1"/>
  <c r="I61" i="12"/>
  <c r="D76" i="12" s="1"/>
  <c r="I86" i="12"/>
  <c r="I113" i="12"/>
  <c r="D128" i="12" s="1"/>
  <c r="I63" i="12"/>
  <c r="D78" i="12" s="1"/>
  <c r="I87" i="12"/>
  <c r="I88" i="12"/>
  <c r="I112" i="12"/>
  <c r="D127" i="12" s="1"/>
  <c r="I115" i="12"/>
  <c r="D130" i="12" s="1"/>
  <c r="I147" i="12"/>
  <c r="D153" i="12" s="1"/>
  <c r="I150" i="12"/>
  <c r="D156" i="12" s="1"/>
  <c r="I10" i="12"/>
  <c r="D25" i="12" s="1"/>
  <c r="I11" i="12"/>
  <c r="D26" i="12" s="1"/>
  <c r="I8" i="12"/>
  <c r="D23" i="12" s="1"/>
  <c r="I36" i="12"/>
  <c r="D51" i="12" s="1"/>
  <c r="I62" i="12"/>
  <c r="D77" i="12" s="1"/>
  <c r="I89" i="12"/>
  <c r="I114" i="12"/>
  <c r="I148" i="12"/>
  <c r="D154" i="12" s="1"/>
  <c r="I149" i="12"/>
  <c r="D155" i="12" s="1"/>
  <c r="I34" i="12"/>
  <c r="D49" i="12" s="1"/>
  <c r="D129" i="12"/>
  <c r="D103" i="12" l="1"/>
  <c r="D104" i="12"/>
  <c r="D164" i="12" s="1"/>
  <c r="D101" i="12"/>
  <c r="D161" i="12" s="1"/>
  <c r="D102" i="12"/>
  <c r="D162" i="12" s="1"/>
  <c r="D163" i="12"/>
  <c r="H40" i="6" l="1"/>
  <c r="H41" i="6"/>
  <c r="H42" i="6"/>
  <c r="H43" i="6"/>
  <c r="H44" i="6"/>
  <c r="H45" i="6"/>
  <c r="H46" i="6"/>
  <c r="H47" i="6"/>
  <c r="H39" i="6"/>
  <c r="D6" i="6"/>
  <c r="D45" i="6"/>
  <c r="G36" i="6"/>
  <c r="F36" i="6"/>
  <c r="G35" i="6"/>
  <c r="F35" i="6"/>
  <c r="G31" i="6"/>
  <c r="F31" i="6"/>
  <c r="G30" i="6"/>
  <c r="F30" i="6"/>
  <c r="D5" i="6"/>
  <c r="D4" i="6"/>
  <c r="D48" i="6" l="1"/>
  <c r="D46" i="6"/>
  <c r="D47" i="6"/>
  <c r="D3" i="6" l="1"/>
  <c r="D2" i="6"/>
  <c r="F16" i="4"/>
  <c r="F13" i="4"/>
  <c r="F11" i="4"/>
  <c r="F10" i="4"/>
  <c r="F12" i="4"/>
  <c r="F22" i="4"/>
  <c r="F19" i="4"/>
  <c r="J30" i="6" l="1"/>
  <c r="J31" i="6"/>
  <c r="H13" i="6"/>
  <c r="J13" i="6"/>
  <c r="I13" i="6"/>
  <c r="D41" i="6" l="1"/>
  <c r="O10" i="6"/>
  <c r="K10" i="6" s="1"/>
  <c r="J14" i="6"/>
  <c r="D42" i="6"/>
  <c r="I14" i="6"/>
  <c r="D43" i="6"/>
  <c r="H14" i="6"/>
  <c r="J21" i="6"/>
  <c r="J20" i="6"/>
  <c r="G25" i="6"/>
  <c r="F25" i="6"/>
  <c r="G24" i="6"/>
  <c r="F24" i="6"/>
  <c r="G23" i="6"/>
  <c r="F23" i="6"/>
  <c r="G22" i="6"/>
  <c r="F22" i="6"/>
  <c r="G21" i="6"/>
  <c r="F21" i="6"/>
  <c r="G20" i="6"/>
  <c r="F20" i="6"/>
  <c r="I41" i="4"/>
  <c r="H41" i="4"/>
  <c r="I40" i="4"/>
  <c r="E14" i="6" s="1"/>
  <c r="I39" i="4"/>
  <c r="E13" i="6" s="1"/>
  <c r="I38" i="4"/>
  <c r="E12" i="6" s="1"/>
  <c r="I37" i="4"/>
  <c r="E11" i="6" s="1"/>
  <c r="I36" i="4"/>
  <c r="E10" i="6" s="1"/>
  <c r="G36" i="4"/>
  <c r="F17" i="4"/>
  <c r="H6" i="4" s="1"/>
  <c r="F18" i="4"/>
  <c r="F20" i="4"/>
  <c r="F21" i="4"/>
  <c r="Q8" i="5"/>
  <c r="H39" i="4" s="1"/>
  <c r="Q7" i="5"/>
  <c r="H38" i="4" s="1"/>
  <c r="Q9" i="5"/>
  <c r="H40" i="4" s="1"/>
  <c r="Q6" i="5"/>
  <c r="P7" i="5" s="1"/>
  <c r="G38" i="4" s="1"/>
  <c r="G37" i="4"/>
  <c r="P8" i="5" l="1"/>
  <c r="G39" i="4" s="1"/>
  <c r="K13" i="6"/>
  <c r="H37" i="4"/>
  <c r="P9" i="5"/>
  <c r="G40" i="4" s="1"/>
  <c r="P10" i="5"/>
  <c r="G41" i="4" s="1"/>
  <c r="H36" i="4"/>
  <c r="J12" i="4" l="1"/>
  <c r="H12" i="4"/>
  <c r="G19" i="5"/>
  <c r="E22" i="5"/>
  <c r="E23" i="5" s="1"/>
  <c r="E19" i="5"/>
  <c r="D20" i="5"/>
  <c r="D22" i="5" s="1"/>
  <c r="G13" i="4" s="1"/>
  <c r="G14" i="4" s="1"/>
  <c r="D19" i="5"/>
  <c r="G10" i="4" s="1"/>
  <c r="H11" i="4"/>
  <c r="H10" i="4"/>
  <c r="J10" i="4"/>
  <c r="F19" i="5"/>
  <c r="I10" i="4" s="1"/>
  <c r="I12" i="4"/>
  <c r="G12" i="4"/>
  <c r="F20" i="5"/>
  <c r="F22" i="5" s="1"/>
  <c r="I20" i="5"/>
  <c r="J11" i="4" l="1"/>
  <c r="G22" i="5"/>
  <c r="G23" i="5" s="1"/>
  <c r="G11" i="4"/>
  <c r="H13" i="4"/>
  <c r="H14" i="4" s="1"/>
  <c r="I22" i="5"/>
  <c r="I13" i="4"/>
  <c r="I14" i="4" s="1"/>
  <c r="F23" i="5"/>
  <c r="I11" i="4"/>
  <c r="D23" i="5"/>
  <c r="J13" i="4" l="1"/>
  <c r="J14" i="4" s="1"/>
  <c r="H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tc={855C3C70-3490-B14E-B94D-01D6ABAA9C90}</author>
    <author>tc={940AC775-FC2D-EF41-8ACF-781A29BC50D3}</author>
    <author>tc={FDBA5B13-BD90-9543-9598-39C34D364657}</author>
    <author>tc={1CD6CC39-7460-4A48-B96B-4BE6FDAB49E5}</author>
    <author>tc={AEF663E6-0AB2-8E45-99FC-5BDC18D6D9F6}</author>
    <author>tc={BC97FE4B-42C5-7544-951B-3F8BC4168975}</author>
    <author>tc={E82DA76F-6DED-4443-B7F4-CD6EFE0F4C1C}</author>
    <author>tc={BDA4FDD4-3433-B242-8486-EA67B81C24E9}</author>
  </authors>
  <commentList>
    <comment ref="F9" authorId="0" shapeId="0" xr:uid="{855C3C70-3490-B14E-B94D-01D6ABAA9C90}">
      <text>
        <t>[Threaded comment]
Your version of Excel allows you to read this threaded comment; however, any edits to it will get removed if the file is opened in a newer version of Excel. Learn more: https://go.microsoft.com/fwlink/?linkid=870924
Comment:
    Your aerobic threshold (AeT), also known as ventilatory threshold 1, is an intensity when exercise begins to feel harder. This point also signifies when carbohydrate usage starts to take over from fat as the predominant fuel source and lactic acid starts begins to be produced. If you had a lactate test this would be just above &lt;2mmol/L of blood lactate.</t>
      </text>
    </comment>
    <comment ref="G9" authorId="1" shapeId="0" xr:uid="{940AC775-FC2D-EF41-8ACF-781A29BC50D3}">
      <text>
        <t>[Threaded comment]
Your version of Excel allows you to read this threaded comment; however, any edits to it will get removed if the file is opened in a newer version of Excel. Learn more: https://go.microsoft.com/fwlink/?linkid=870924
Comment:
    Your anaerobic threshold (AnT) is the functional portion of your VO2 max. This is where you should be performing your threshold work and longer intervals. Used interchangeably with your ventilatory (VT2), or lactate threshold (LT), measuring this tells us what intensity (pace/ power) you can sustain for 30-60mins, where better trained athletes are able to hold this point for longer.</t>
      </text>
    </comment>
    <comment ref="H9" authorId="2" shapeId="0" xr:uid="{FDBA5B13-BD90-9543-9598-39C34D364657}">
      <text>
        <t>[Threaded comment]
Your version of Excel allows you to read this threaded comment; however, any edits to it will get removed if the file is opened in a newer version of Excel. Learn more: https://go.microsoft.com/fwlink/?linkid=870924
Comment:
    The speed at your anaerobic threshold (AnT) is how fast you can run for roughly 45mins.</t>
      </text>
    </comment>
    <comment ref="I9" authorId="3" shapeId="0" xr:uid="{1CD6CC39-7460-4A48-B96B-4BE6FDAB49E5}">
      <text>
        <t>[Threaded comment]
Your version of Excel allows you to read this threaded comment; however, any edits to it will get removed if the file is opened in a newer version of Excel. Learn more: https://go.microsoft.com/fwlink/?linkid=870924
Comment:
    Your VO2 max is the maximum amount of oxygen you can inhale and use per minute. Your VO2 max is essentially the size of your endurance engine and is known as the benchmark of aerobic performance. You can hold this intensity for roughly 5-8mins.</t>
      </text>
    </comment>
    <comment ref="J9" authorId="4" shapeId="0" xr:uid="{AEF663E6-0AB2-8E45-99FC-5BDC18D6D9F6}">
      <text>
        <t>[Threaded comment]
Your version of Excel allows you to read this threaded comment; however, any edits to it will get removed if the file is opened in a newer version of Excel. Learn more: https://go.microsoft.com/fwlink/?linkid=870924
Comment:
    Your velocity at VO2Max is the minimum speed you have to run  at to reach your VO2Max</t>
      </text>
    </comment>
    <comment ref="K9" authorId="5" shapeId="0" xr:uid="{BC97FE4B-42C5-7544-951B-3F8BC4168975}">
      <text>
        <t>[Threaded comment]
Your version of Excel allows you to read this threaded comment; however, any edits to it will get removed if the file is opened in a newer version of Excel. Learn more: https://go.microsoft.com/fwlink/?linkid=870924
Comment:
    Your fractional utilisation represents the proportion of your AnT of your VO2Max, or more simply how much of your VO2Max you can sustain. A higher fractional  utilisation  indicates you  can use a high proportion of your VO2Max and is a key marker for endurance performance.</t>
      </text>
    </comment>
    <comment ref="L30" authorId="6" shapeId="0" xr:uid="{E82DA76F-6DED-4443-B7F4-CD6EFE0F4C1C}">
      <text>
        <t>[Threaded comment]
Your version of Excel allows you to read this threaded comment; however, any edits to it will get removed if the file is opened in a newer version of Excel. Learn more: https://go.microsoft.com/fwlink/?linkid=870924
Comment:
    Your metabolic efficiency point is the intensity you switch from predominantly fat as a fuel to carbohydrates. A higher MEP is particularly good for endurance athletes.</t>
      </text>
    </comment>
    <comment ref="J45" authorId="7" shapeId="0" xr:uid="{BDA4FDD4-3433-B242-8486-EA67B81C24E9}">
      <text>
        <t>[Threaded comment]
Your version of Excel allows you to read this threaded comment; however, any edits to it will get removed if the file is opened in a newer version of Excel. Learn more: https://go.microsoft.com/fwlink/?linkid=870924
Comment:
    Improve VO2Max with Zone 2 work and Zone 5 intervals</t>
      </text>
    </comment>
  </commentList>
</comments>
</file>

<file path=xl/sharedStrings.xml><?xml version="1.0" encoding="utf-8"?>
<sst xmlns="http://schemas.openxmlformats.org/spreadsheetml/2006/main" count="968" uniqueCount="513">
  <si>
    <t>%</t>
  </si>
  <si>
    <t>Aerobic Threshold</t>
  </si>
  <si>
    <t>Body Fat %</t>
  </si>
  <si>
    <t>Goal</t>
  </si>
  <si>
    <t>Metabolic Profile</t>
  </si>
  <si>
    <t>Actual</t>
  </si>
  <si>
    <t>Client Info</t>
  </si>
  <si>
    <t>Name:</t>
  </si>
  <si>
    <t>Gender</t>
  </si>
  <si>
    <t>Age</t>
  </si>
  <si>
    <t>Height</t>
  </si>
  <si>
    <t>Current weight (kg)</t>
  </si>
  <si>
    <t>Body Fat</t>
  </si>
  <si>
    <t>RMR</t>
  </si>
  <si>
    <t>Test Results</t>
  </si>
  <si>
    <t>ml/kg/min</t>
  </si>
  <si>
    <t>BPM</t>
  </si>
  <si>
    <t>VO2 Max</t>
  </si>
  <si>
    <t>Anaerobic threshold</t>
  </si>
  <si>
    <t>Aerobic threshold</t>
  </si>
  <si>
    <t>Fat max</t>
  </si>
  <si>
    <t>% of Goal Reached</t>
  </si>
  <si>
    <t>Fractional Utilisation</t>
  </si>
  <si>
    <t>Heart rate (bpm)</t>
  </si>
  <si>
    <t>kcals/min</t>
  </si>
  <si>
    <t>Kcal expendture</t>
  </si>
  <si>
    <t>Mins in zone</t>
  </si>
  <si>
    <t>Zone 1 - Recovery</t>
  </si>
  <si>
    <t>Zone 2 – Endurance</t>
  </si>
  <si>
    <t>Zone 3 - Tempo</t>
  </si>
  <si>
    <t>Zone 4 - Threshold</t>
  </si>
  <si>
    <t>Zone 5 - VO2 Max</t>
  </si>
  <si>
    <t>Zone 6 – Anaerobic</t>
  </si>
  <si>
    <t>Daily Carbohydrate Estimations</t>
  </si>
  <si>
    <t xml:space="preserve">Key </t>
  </si>
  <si>
    <t>g.kg.bw</t>
  </si>
  <si>
    <t>Carb totals</t>
  </si>
  <si>
    <t>Carb fuelling</t>
  </si>
  <si>
    <t>Total</t>
  </si>
  <si>
    <t>Rest day</t>
  </si>
  <si>
    <t>Pre training</t>
  </si>
  <si>
    <t>Low intensity</t>
  </si>
  <si>
    <t>Post training</t>
  </si>
  <si>
    <t>Moderate intensity</t>
  </si>
  <si>
    <t>High intensity</t>
  </si>
  <si>
    <t>Protein</t>
  </si>
  <si>
    <t>Training twice</t>
  </si>
  <si>
    <t>Pre workout</t>
  </si>
  <si>
    <t>Carb loading</t>
  </si>
  <si>
    <t>Post workout</t>
  </si>
  <si>
    <t>Target weight (kg)</t>
  </si>
  <si>
    <t>Hard  Day Workout needs</t>
  </si>
  <si>
    <t>Max heart rate</t>
  </si>
  <si>
    <t>MEP Heart rate</t>
  </si>
  <si>
    <t>z</t>
  </si>
  <si>
    <t>Training</t>
  </si>
  <si>
    <t>Perform Better, Look Better, Feel Better</t>
  </si>
  <si>
    <t>Training Zones</t>
  </si>
  <si>
    <t>Target Weight</t>
  </si>
  <si>
    <t>Date</t>
  </si>
  <si>
    <t xml:space="preserve">Name </t>
  </si>
  <si>
    <t>Target bodyweight</t>
  </si>
  <si>
    <t>Activity factor</t>
  </si>
  <si>
    <t>Weight  gain</t>
  </si>
  <si>
    <t>Aggressive Weightloss</t>
  </si>
  <si>
    <t>Weight loss</t>
  </si>
  <si>
    <t>Maintenance</t>
  </si>
  <si>
    <t>Body Comp Goal</t>
  </si>
  <si>
    <t>1:~5000 steps per day or less</t>
  </si>
  <si>
    <t>2. ~5,000-1o,000 steps per day</t>
  </si>
  <si>
    <t>3:~10,000-15,000 steps per day</t>
  </si>
  <si>
    <t>5:~15,000-20,000 steps per day</t>
  </si>
  <si>
    <t>7:~25,000 steps per day</t>
  </si>
  <si>
    <t>Maintenance kcals</t>
  </si>
  <si>
    <t>Sednetary</t>
  </si>
  <si>
    <t>Low activity</t>
  </si>
  <si>
    <t>Active</t>
  </si>
  <si>
    <t>Very active</t>
  </si>
  <si>
    <t>Workout kcals</t>
  </si>
  <si>
    <t>Daily Protein Estimations</t>
  </si>
  <si>
    <t>Protein totals</t>
  </si>
  <si>
    <t xml:space="preserve">Endurance </t>
  </si>
  <si>
    <t>Body composition</t>
  </si>
  <si>
    <t>Daily Fat Estimations</t>
  </si>
  <si>
    <t>Fat totals</t>
  </si>
  <si>
    <t>Recommended</t>
  </si>
  <si>
    <t>Low intensity endurance/ fat preference</t>
  </si>
  <si>
    <t>Diet Specifics</t>
  </si>
  <si>
    <t>Daily Intake amounts</t>
  </si>
  <si>
    <t>Protein Distribution (per meal)</t>
  </si>
  <si>
    <t>Water (L)</t>
  </si>
  <si>
    <t>Fiber (g):</t>
  </si>
  <si>
    <t>Fruits servings/day (cups)</t>
  </si>
  <si>
    <t>Vegetable Servings/day (cups)</t>
  </si>
  <si>
    <t>Supplements for bone health</t>
  </si>
  <si>
    <t>Amounts daily</t>
  </si>
  <si>
    <t>Calcium</t>
  </si>
  <si>
    <t>1000mg</t>
  </si>
  <si>
    <t>Iron mg</t>
  </si>
  <si>
    <t>18F, 8M</t>
  </si>
  <si>
    <t>600iu</t>
  </si>
  <si>
    <t>PRO</t>
  </si>
  <si>
    <t>CARBS</t>
  </si>
  <si>
    <t>FAT</t>
  </si>
  <si>
    <t>g/kg/bw</t>
  </si>
  <si>
    <t>g's</t>
  </si>
  <si>
    <t>Protein targets</t>
  </si>
  <si>
    <t>Carb targets</t>
  </si>
  <si>
    <t>Fat</t>
  </si>
  <si>
    <t>kcals</t>
  </si>
  <si>
    <t>Macro  calculator</t>
  </si>
  <si>
    <t>Vitamin D3</t>
  </si>
  <si>
    <t>Macro</t>
  </si>
  <si>
    <t>Whey Protein</t>
  </si>
  <si>
    <t>Creatine</t>
  </si>
  <si>
    <t>Beta Alanine</t>
  </si>
  <si>
    <t>Caffeine</t>
  </si>
  <si>
    <t>Sodium Bicarbonate</t>
  </si>
  <si>
    <t>Nitrates</t>
  </si>
  <si>
    <t>High dose antioxidants</t>
  </si>
  <si>
    <t>Supplement recommendations</t>
  </si>
  <si>
    <t>Probiotics</t>
  </si>
  <si>
    <t>Electrolytes</t>
  </si>
  <si>
    <t>Your Playbook</t>
  </si>
  <si>
    <t>Keep low</t>
  </si>
  <si>
    <t>Y</t>
  </si>
  <si>
    <t>N</t>
  </si>
  <si>
    <t>Carbohydrates + Fruit</t>
  </si>
  <si>
    <t>Vegetables</t>
  </si>
  <si>
    <t>Condiments and fluid</t>
  </si>
  <si>
    <t>Food Name</t>
  </si>
  <si>
    <t>Quantity</t>
  </si>
  <si>
    <t>Measure</t>
  </si>
  <si>
    <t>Energy(Kcal)</t>
  </si>
  <si>
    <t>Carbohydrate</t>
  </si>
  <si>
    <t>Anchovies canned in oil drained</t>
  </si>
  <si>
    <t>1x small tin</t>
  </si>
  <si>
    <t>Almond butter</t>
  </si>
  <si>
    <t>1x tablespoon</t>
  </si>
  <si>
    <t>Apple juice</t>
  </si>
  <si>
    <t>1x Average Portion</t>
  </si>
  <si>
    <t>Aubergine raw</t>
  </si>
  <si>
    <t>0.2x aubergine</t>
  </si>
  <si>
    <t>Almond Milk sweetened</t>
  </si>
  <si>
    <t>1x Prepacked portion/1 tablespoon</t>
  </si>
  <si>
    <t>Bacon Medallions</t>
  </si>
  <si>
    <t>2x medallion</t>
  </si>
  <si>
    <t>Almonds with skin</t>
  </si>
  <si>
    <t>Apples</t>
  </si>
  <si>
    <t>1x Medium</t>
  </si>
  <si>
    <t>Beans broad whole boiled in unsalted water</t>
  </si>
  <si>
    <t>Almond Milk unsweetened</t>
  </si>
  <si>
    <t>Bacon rashers back raw</t>
  </si>
  <si>
    <t>2.5x piece average</t>
  </si>
  <si>
    <t>Avocado  flesh only</t>
  </si>
  <si>
    <t>1x average</t>
  </si>
  <si>
    <t>Baked beans canned in tomato sauce</t>
  </si>
  <si>
    <t>1x Average portion</t>
  </si>
  <si>
    <t>Beans green raw</t>
  </si>
  <si>
    <t>1x NHS Serving (4 tablespoons/1/2 cup)</t>
  </si>
  <si>
    <t>Beef mince raw</t>
  </si>
  <si>
    <t>Avocado oil</t>
  </si>
  <si>
    <t>Banana bread homemade</t>
  </si>
  <si>
    <t>1x Average slice</t>
  </si>
  <si>
    <t>Beansprouts mung raw</t>
  </si>
  <si>
    <t>1x cup</t>
  </si>
  <si>
    <t>Apple Sauce</t>
  </si>
  <si>
    <t>1x Per tablespoon (15ml)</t>
  </si>
  <si>
    <t>Beef mince raw extra lean</t>
  </si>
  <si>
    <t>Butter salted</t>
  </si>
  <si>
    <t>Bananas raw flesh only weighed with skin</t>
  </si>
  <si>
    <t>1x Medium (7")</t>
  </si>
  <si>
    <t>Beetroot pickled drained</t>
  </si>
  <si>
    <t>Balsamic Vinegar</t>
  </si>
  <si>
    <t>Beef sirloin steak raw lean</t>
  </si>
  <si>
    <t>Cashew nuts plain</t>
  </si>
  <si>
    <t>1x 10 whole</t>
  </si>
  <si>
    <t>Beans blackeye whole dried boiled in unsalted water</t>
  </si>
  <si>
    <t>Brussels sprouts raw</t>
  </si>
  <si>
    <t>1x 1/2 cup</t>
  </si>
  <si>
    <t>Barbecue sauce</t>
  </si>
  <si>
    <t>Beef slices sandwich meat</t>
  </si>
  <si>
    <t>1x Serving</t>
  </si>
  <si>
    <t>Cheese Babybel light</t>
  </si>
  <si>
    <t>1x piece</t>
  </si>
  <si>
    <t>Black beans canned drained</t>
  </si>
  <si>
    <t>Cabbage average raw</t>
  </si>
  <si>
    <t>Brown sauce</t>
  </si>
  <si>
    <t>Beef stewing steak raw lean</t>
  </si>
  <si>
    <t>Cheese Babybel original (full fat)</t>
  </si>
  <si>
    <t>Blueberries</t>
  </si>
  <si>
    <t>Carrots raw</t>
  </si>
  <si>
    <t>1x NHS serving (1 medium carrot)</t>
  </si>
  <si>
    <t>Chocolate Bar Milk</t>
  </si>
  <si>
    <t>Beef topside raw lean</t>
  </si>
  <si>
    <t>1x Medium portion</t>
  </si>
  <si>
    <t>Cheese Cheddar English</t>
  </si>
  <si>
    <t>Bread brown average</t>
  </si>
  <si>
    <t>1x Medium slice</t>
  </si>
  <si>
    <t>Cauliflower raw</t>
  </si>
  <si>
    <t>Chocolate dark 70-84% Cocoa</t>
  </si>
  <si>
    <t>Beef topside roasted well-done lean</t>
  </si>
  <si>
    <t>Cheese Cheddar type 30% less fat</t>
  </si>
  <si>
    <t>Bread white average</t>
  </si>
  <si>
    <t>1x Thin sliced pan 1 slice</t>
  </si>
  <si>
    <t>Celery raw</t>
  </si>
  <si>
    <t>1x NHS Serving</t>
  </si>
  <si>
    <t>Chutney mixed fruit</t>
  </si>
  <si>
    <t>Biltong  beef</t>
  </si>
  <si>
    <t>1x serving</t>
  </si>
  <si>
    <t>Cheese cottage plain</t>
  </si>
  <si>
    <t>1x Average serving</t>
  </si>
  <si>
    <t>Butternut Squash Raw</t>
  </si>
  <si>
    <t>1x cup cubes</t>
  </si>
  <si>
    <t>Chard Swiss raw</t>
  </si>
  <si>
    <t>Cocoa powder</t>
  </si>
  <si>
    <t>1x teaspoon</t>
  </si>
  <si>
    <t>Burger beef 62-85% beef grilled</t>
  </si>
  <si>
    <t>Chia seeds</t>
  </si>
  <si>
    <t>Courgette raw</t>
  </si>
  <si>
    <t>1x Medium portion / NHS Serving</t>
  </si>
  <si>
    <t>English Mustard</t>
  </si>
  <si>
    <t>Coconut milk canned</t>
  </si>
  <si>
    <t>Corn cakes / thins plain</t>
  </si>
  <si>
    <t>Cucumber</t>
  </si>
  <si>
    <t>1x 1/2 cup slices</t>
  </si>
  <si>
    <t>Honey</t>
  </si>
  <si>
    <t>Coconut milk light canned</t>
  </si>
  <si>
    <t>Couscous dried</t>
  </si>
  <si>
    <t>Kale curly raw</t>
  </si>
  <si>
    <t>1x cup 1 inch pieces loosely packed</t>
  </si>
  <si>
    <t>Horseradish sauce</t>
  </si>
  <si>
    <t>Coconut oil</t>
  </si>
  <si>
    <t>1x teaspoon (solid)</t>
  </si>
  <si>
    <t>Crackers cream</t>
  </si>
  <si>
    <t>3x cracker</t>
  </si>
  <si>
    <t>Leeks raw</t>
  </si>
  <si>
    <t>1x leek</t>
  </si>
  <si>
    <t>Hummus retail</t>
  </si>
  <si>
    <t>Eggs whole raw</t>
  </si>
  <si>
    <t>2x Average Size 3</t>
  </si>
  <si>
    <t>Crumpets</t>
  </si>
  <si>
    <t>1x (toasted) Per crumpet</t>
  </si>
  <si>
    <t>Lettuce average raw</t>
  </si>
  <si>
    <t>Lucozade Sport Orange 500ml</t>
  </si>
  <si>
    <t>Flax Seed (milled or whole)</t>
  </si>
  <si>
    <t>1x tablespoon (milled)</t>
  </si>
  <si>
    <t>Dates Medjool</t>
  </si>
  <si>
    <t>24g incl waste</t>
  </si>
  <si>
    <t>Mushrooms white raw</t>
  </si>
  <si>
    <t>Maple syrup</t>
  </si>
  <si>
    <t>Cheese cottage plain reduced fat</t>
  </si>
  <si>
    <t>Guacamole homemade</t>
  </si>
  <si>
    <t>Energy Ball - 40g</t>
  </si>
  <si>
    <t>1x Pack</t>
  </si>
  <si>
    <t>Onions raw</t>
  </si>
  <si>
    <t>Marmite</t>
  </si>
  <si>
    <t>1x heaped teaspoon</t>
  </si>
  <si>
    <t>Chicken dark meat raw</t>
  </si>
  <si>
    <t>Mixed nuts (no peanuts)</t>
  </si>
  <si>
    <t>Energy Gel</t>
  </si>
  <si>
    <t>1x sachet</t>
  </si>
  <si>
    <t>Onions red raw</t>
  </si>
  <si>
    <t>1x medium onion</t>
  </si>
  <si>
    <t>Mayonnaise</t>
  </si>
  <si>
    <t>Chicken drumsticks</t>
  </si>
  <si>
    <t>2  x Drumsticks</t>
  </si>
  <si>
    <t>Olive oil</t>
  </si>
  <si>
    <t>Energy Gel - High 5</t>
  </si>
  <si>
    <t>Pak choi raw</t>
  </si>
  <si>
    <t>1x NHS serving (1 cup shredded)</t>
  </si>
  <si>
    <t>Mayonnaise Light</t>
  </si>
  <si>
    <t>Chicken light meat raw</t>
  </si>
  <si>
    <t>1x medium fillet</t>
  </si>
  <si>
    <t>Olives green in brine drained flesh and skin</t>
  </si>
  <si>
    <t>Energy Gel SIS Go</t>
  </si>
  <si>
    <t>Peas frozen raw</t>
  </si>
  <si>
    <t>1x NHS serving = 3 tablespoons</t>
  </si>
  <si>
    <t>Milk semi-skimmed</t>
  </si>
  <si>
    <t>1x On cereal (30-35g portion )</t>
  </si>
  <si>
    <t>Chicken Sausages Heck</t>
  </si>
  <si>
    <t>1x Per 2 sausages (133g) (grilled)</t>
  </si>
  <si>
    <t>Peanut butter wholegrain</t>
  </si>
  <si>
    <t>Flapjacks homemade</t>
  </si>
  <si>
    <t>Peppers bell raw mixed</t>
  </si>
  <si>
    <t>Milk whole</t>
  </si>
  <si>
    <t>Chicken slices</t>
  </si>
  <si>
    <t>Flapjacks retail</t>
  </si>
  <si>
    <t>Radish red raw flesh and skin</t>
  </si>
  <si>
    <t>1x all sizes radish</t>
  </si>
  <si>
    <t>Mint sauce</t>
  </si>
  <si>
    <t>Chicken thigh  fillet</t>
  </si>
  <si>
    <t>1 x thigh</t>
  </si>
  <si>
    <t>Flatbreads folded</t>
  </si>
  <si>
    <t>1x Per pack</t>
  </si>
  <si>
    <t>Red cabbage</t>
  </si>
  <si>
    <t>0.1x small cabbage</t>
  </si>
  <si>
    <t>Mustard wholegrain</t>
  </si>
  <si>
    <t>Chicken thighs</t>
  </si>
  <si>
    <t>1 x Thigh</t>
  </si>
  <si>
    <t>Fruit gums/jellies</t>
  </si>
  <si>
    <t>1x Average</t>
  </si>
  <si>
    <t>Rocket leaves raw</t>
  </si>
  <si>
    <t>1x NHS Serving (1 cereal bowl)</t>
  </si>
  <si>
    <t>Orange juice</t>
  </si>
  <si>
    <t>1x Average glass/pub bottle</t>
  </si>
  <si>
    <t>Cod flesh only raw</t>
  </si>
  <si>
    <t>Gherkins pickled drained</t>
  </si>
  <si>
    <t>Spinach baby raw</t>
  </si>
  <si>
    <t>Red Hot Original Cayenne Pepper Sauce</t>
  </si>
  <si>
    <t>Corned beef canned</t>
  </si>
  <si>
    <t>Granola</t>
  </si>
  <si>
    <t>1 x 1/2 cup</t>
  </si>
  <si>
    <t>Spring onions bulbs and tops raw</t>
  </si>
  <si>
    <t>Red Onion Chutney</t>
  </si>
  <si>
    <t>Egg whites</t>
  </si>
  <si>
    <t>2x Average egg</t>
  </si>
  <si>
    <t>Granola Jordan's</t>
  </si>
  <si>
    <t>Sweetcorn kernels canned in water drained</t>
  </si>
  <si>
    <t>1x NHS serving (3 heaped tablespoons)</t>
  </si>
  <si>
    <t>Salad cream</t>
  </si>
  <si>
    <t>Eggs whole</t>
  </si>
  <si>
    <t>Grapes</t>
  </si>
  <si>
    <t>Tomatoes cherry raw</t>
  </si>
  <si>
    <t>Salad cream reduced fat</t>
  </si>
  <si>
    <t>Fillet steak raw lean</t>
  </si>
  <si>
    <t>1x average 5oz</t>
  </si>
  <si>
    <t>Tomatoes standard raw</t>
  </si>
  <si>
    <t>1x average sized</t>
  </si>
  <si>
    <t>Sour cream</t>
  </si>
  <si>
    <t>Haddock flesh only raw</t>
  </si>
  <si>
    <t>Jam fruit with edible seeds</t>
  </si>
  <si>
    <t>1x Average spread on scone/crumpet</t>
  </si>
  <si>
    <t>Tomatoes tinned whole contents</t>
  </si>
  <si>
    <t>Soy sauce</t>
  </si>
  <si>
    <t>Lamb breast raw lean</t>
  </si>
  <si>
    <t>Kidney beans canned in water drained</t>
  </si>
  <si>
    <t>Sweet chilli sauce</t>
  </si>
  <si>
    <t>Lamb mince raw</t>
  </si>
  <si>
    <t>Kiwi fruit flesh and seeds weighed with skin</t>
  </si>
  <si>
    <t>1x medium</t>
  </si>
  <si>
    <t>Tahini paste</t>
  </si>
  <si>
    <t>Mackerel canned in tomato sauce whole contents</t>
  </si>
  <si>
    <t>1x Average can</t>
  </si>
  <si>
    <t>Lentils green and brown whole dried boiled in unsalted water</t>
  </si>
  <si>
    <t>3x tablespoon</t>
  </si>
  <si>
    <t>Tartare sauce</t>
  </si>
  <si>
    <t>Mackerel flesh only smoked</t>
  </si>
  <si>
    <t>Lucozade sport energy gel</t>
  </si>
  <si>
    <t>Tomato Ketchup</t>
  </si>
  <si>
    <t>Milk semi-skimmed pasteurised average</t>
  </si>
  <si>
    <t>Mussels raw</t>
  </si>
  <si>
    <t>Maltodextrin</t>
  </si>
  <si>
    <t>1x 50g</t>
  </si>
  <si>
    <t>Pork loin chops raw lean and fat</t>
  </si>
  <si>
    <t>Mangoes ripe raw flesh only</t>
  </si>
  <si>
    <t>Pork mince raw</t>
  </si>
  <si>
    <t>Melon flesh only average</t>
  </si>
  <si>
    <t>Prawns king raw</t>
  </si>
  <si>
    <t>1x Medium Portion (1 Cup)</t>
  </si>
  <si>
    <t>Melon watermelon flesh only</t>
  </si>
  <si>
    <t>1x cup diced</t>
  </si>
  <si>
    <t>Quark Yogurt plain</t>
  </si>
  <si>
    <t>1x average pot</t>
  </si>
  <si>
    <t>Mixed beans canned drained</t>
  </si>
  <si>
    <t>Salmon farmed flesh only raw</t>
  </si>
  <si>
    <t>1x medium fillet / darne</t>
  </si>
  <si>
    <t>Muesli no added sugar</t>
  </si>
  <si>
    <t>1x Medium - 1 serving (1/2 cup)</t>
  </si>
  <si>
    <t>Salmon pink tinned in brine drained</t>
  </si>
  <si>
    <t>1x Medium can (210) - drained</t>
  </si>
  <si>
    <t>Nectarines flesh and skin weighed with stones</t>
  </si>
  <si>
    <t>Salmon smoked (cold-smoked)</t>
  </si>
  <si>
    <t>Noodles egg dried raw</t>
  </si>
  <si>
    <t>Salmon wild flesh only raw</t>
  </si>
  <si>
    <t>Noodles glass</t>
  </si>
  <si>
    <t>1x 1/2 standard block or 1 serving</t>
  </si>
  <si>
    <t>Sardines canned in sunflower oil drained</t>
  </si>
  <si>
    <t>Noodles Soba dry</t>
  </si>
  <si>
    <t>1x cup dry</t>
  </si>
  <si>
    <t>Sardines canned in tomato sauce whole contents</t>
  </si>
  <si>
    <t>Oat and honey bar</t>
  </si>
  <si>
    <t>1x bar/slice</t>
  </si>
  <si>
    <t>Sausages pork raw</t>
  </si>
  <si>
    <t>2x Average sausage</t>
  </si>
  <si>
    <t>Oat flakes rolled</t>
  </si>
  <si>
    <t>1x Serving 1/2 cup</t>
  </si>
  <si>
    <t>Sea bass flesh only raw</t>
  </si>
  <si>
    <t>1x small fillet</t>
  </si>
  <si>
    <t>Oatcakes</t>
  </si>
  <si>
    <t>1x oatcake</t>
  </si>
  <si>
    <t>Skyr Natural</t>
  </si>
  <si>
    <t>Onions pickled drained</t>
  </si>
  <si>
    <t>1x all sizes whole</t>
  </si>
  <si>
    <t>Skyr Strawberry</t>
  </si>
  <si>
    <t>Steak rump raw lean</t>
  </si>
  <si>
    <t>1x average 5oz (1/3 lb)</t>
  </si>
  <si>
    <t>Oranges flesh only weighed with peel</t>
  </si>
  <si>
    <t>1x medium orange</t>
  </si>
  <si>
    <t>Tempeh</t>
  </si>
  <si>
    <t>Pancakes retail</t>
  </si>
  <si>
    <t>Tofu raw regular</t>
  </si>
  <si>
    <t>Parsnip raw</t>
  </si>
  <si>
    <t>Tuna canned in brine drained</t>
  </si>
  <si>
    <t>1x Standard can (180g) drained</t>
  </si>
  <si>
    <t>Peaches raw flesh and skin</t>
  </si>
  <si>
    <t>Tuna canned in spring water drained</t>
  </si>
  <si>
    <t>Pears average flesh and skin raw weighed with core and stalk</t>
  </si>
  <si>
    <t>Turkey light meat raw</t>
  </si>
  <si>
    <t>1x average serve breast</t>
  </si>
  <si>
    <t>Pineapple raw flesh only</t>
  </si>
  <si>
    <t>1x NHS serving</t>
  </si>
  <si>
    <t>Turkey mince raw 2% fat</t>
  </si>
  <si>
    <t>0.3x Medium Pack</t>
  </si>
  <si>
    <t>Pitta bread white</t>
  </si>
  <si>
    <t>1x Average (Oval)</t>
  </si>
  <si>
    <t>Turkey mince raw 4% fat</t>
  </si>
  <si>
    <t>Pitta bread wholemeal</t>
  </si>
  <si>
    <t>Turkey mince raw 7% fat</t>
  </si>
  <si>
    <t>Plums average raw flesh and skin</t>
  </si>
  <si>
    <t>Turkey slices</t>
  </si>
  <si>
    <t>Potatoes new and salad flesh only raw</t>
  </si>
  <si>
    <t>Venison meat only raw</t>
  </si>
  <si>
    <t>3x carpaccio slice</t>
  </si>
  <si>
    <t>Potatoes old raw flesh only</t>
  </si>
  <si>
    <t>1x medium white/red 5-8cm diamter</t>
  </si>
  <si>
    <t>Whey protein isolate powder</t>
  </si>
  <si>
    <t>1x average serving/scoop</t>
  </si>
  <si>
    <t>Rice cake Dark Chocolate</t>
  </si>
  <si>
    <t>2x rice cake</t>
  </si>
  <si>
    <t>Yogurt greek plain 0% fat</t>
  </si>
  <si>
    <t>Rice cakes plain</t>
  </si>
  <si>
    <t>Yogurt Greek style plain</t>
  </si>
  <si>
    <t>Rice Krispies Squares</t>
  </si>
  <si>
    <t>1x standard bar</t>
  </si>
  <si>
    <t>Ryvita multigrain</t>
  </si>
  <si>
    <t>2x slice</t>
  </si>
  <si>
    <t>Sandwich Thins wholemeal</t>
  </si>
  <si>
    <t>1x Average Thin</t>
  </si>
  <si>
    <t>Shredded wheat</t>
  </si>
  <si>
    <t>2x biscuit</t>
  </si>
  <si>
    <t>Soreen (maltloaf)</t>
  </si>
  <si>
    <t>Strawberries raw</t>
  </si>
  <si>
    <t>1x cup halves</t>
  </si>
  <si>
    <t>Stuffing mix dried</t>
  </si>
  <si>
    <t>Sweet potato raw flesh only</t>
  </si>
  <si>
    <t>1x medium 6</t>
  </si>
  <si>
    <t>Tortilla wrap</t>
  </si>
  <si>
    <t>Turnip flesh only raw</t>
  </si>
  <si>
    <t>Water biscuits</t>
  </si>
  <si>
    <t>4x biscuit</t>
  </si>
  <si>
    <t>Weetabix</t>
  </si>
  <si>
    <t>2x bisk</t>
  </si>
  <si>
    <t>Yam flesh only raw</t>
  </si>
  <si>
    <t>Yorkshire pudding made with skimmed milk homemade</t>
  </si>
  <si>
    <t>Breakfast</t>
  </si>
  <si>
    <t>Carbs</t>
  </si>
  <si>
    <t>Option  1</t>
  </si>
  <si>
    <t>Food</t>
  </si>
  <si>
    <t>www.boxnutrition.co.uk</t>
  </si>
  <si>
    <t>Serving size</t>
  </si>
  <si>
    <t>Carbohydrates</t>
  </si>
  <si>
    <t>Option 2</t>
  </si>
  <si>
    <t>Reccomended serving sizes</t>
  </si>
  <si>
    <t>Am Snack</t>
  </si>
  <si>
    <t>Lunch</t>
  </si>
  <si>
    <t>Pm Snack</t>
  </si>
  <si>
    <t>Evening meal</t>
  </si>
  <si>
    <t>Evening Meal</t>
  </si>
  <si>
    <t>Bedtime snack</t>
  </si>
  <si>
    <t>Totals</t>
  </si>
  <si>
    <t>Number of meals and snacks</t>
  </si>
  <si>
    <t>Fat Distribution (per meal)</t>
  </si>
  <si>
    <t>Carbohydrate Distribution (per meal)</t>
  </si>
  <si>
    <t>Kcal Distribution (per meal)</t>
  </si>
  <si>
    <t>Current weight</t>
  </si>
  <si>
    <t xml:space="preserve"> </t>
  </si>
  <si>
    <t>s</t>
  </si>
  <si>
    <t>Ideal</t>
  </si>
  <si>
    <t>%  Achieved</t>
  </si>
  <si>
    <t>MEP Score</t>
  </si>
  <si>
    <t>A</t>
  </si>
  <si>
    <t>Heart rate</t>
  </si>
  <si>
    <t>1 . VO2Max</t>
  </si>
  <si>
    <t>3. Anaerobic Threshold</t>
  </si>
  <si>
    <t>4. Anaerobic Threshold</t>
  </si>
  <si>
    <t>1. Aerobic Threshold (AeT)</t>
  </si>
  <si>
    <t>2. Anaerobic Threshold</t>
  </si>
  <si>
    <t>4. VO2Max</t>
  </si>
  <si>
    <t>6. Fractional Utilisation</t>
  </si>
  <si>
    <t>Watts</t>
  </si>
  <si>
    <t>2. Watts@VO2Max</t>
  </si>
  <si>
    <t>5. Power @VO2Max</t>
  </si>
  <si>
    <t>3.Power @AnT</t>
  </si>
  <si>
    <t>https://www.cyclinganalytics.com/blog/2018/06/how-does-your-cycling-power-output-compare</t>
  </si>
  <si>
    <t>Watts per kg</t>
  </si>
  <si>
    <t>w/kg</t>
  </si>
  <si>
    <t>W/Kg</t>
  </si>
  <si>
    <t>Key Takeaways</t>
  </si>
  <si>
    <t>Jack Braniff</t>
  </si>
  <si>
    <t>Male</t>
  </si>
  <si>
    <t xml:space="preserve"> N</t>
  </si>
  <si>
    <t>Total estimated expenditure*</t>
  </si>
  <si>
    <t>Power Zones</t>
  </si>
  <si>
    <t>Average</t>
  </si>
  <si>
    <t>Thigh</t>
  </si>
  <si>
    <t>Subscap</t>
  </si>
  <si>
    <t>Belly</t>
  </si>
  <si>
    <t>Hip</t>
  </si>
  <si>
    <t>Mid auxillary</t>
  </si>
  <si>
    <t>Chest</t>
  </si>
  <si>
    <t>Tricep</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</si>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</sst>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0.0"/>
    <numFmt numFmtId="167" formatCode="0&quot;  cm&quot;"/>
    <numFmt numFmtId="168" formatCode="0.0&quot; kg&quot;"/>
    <numFmt numFmtId="169" formatCode="0&quot;g&quot;"/>
    <numFmt numFmtId="170" formatCode="h:mm:ss;@"/>
    <numFmt numFmtId="171" formatCode="dd/mm/yy;@"/>
    <numFmt numFmtId="172" formatCode="0.0%"/>
  </numFmts>
  <fonts count="73">
    <font>
      <sz val="12"/>
      <color theme="3"/>
      <name val="Segoe UI"/>
      <family val="2"/>
      <scheme val="minor"/>
    </font>
    <font>
      <sz val="12"/>
      <color theme="1"/>
      <name val="Segoe UI"/>
      <family val="2"/>
      <scheme val="minor"/>
    </font>
    <font>
      <sz val="11"/>
      <color theme="1"/>
      <name val="Segoe UI"/>
      <family val="2"/>
      <scheme val="minor"/>
    </font>
    <font>
      <sz val="18"/>
      <color theme="3"/>
      <name val="Century Gothic"/>
      <family val="2"/>
      <scheme val="major"/>
    </font>
    <font>
      <sz val="16"/>
      <color theme="3"/>
      <name val="Segoe UI"/>
      <family val="2"/>
      <scheme val="minor"/>
    </font>
    <font>
      <sz val="14"/>
      <color theme="0"/>
      <name val="Segoe UI"/>
      <family val="2"/>
      <scheme val="minor"/>
    </font>
    <font>
      <b/>
      <sz val="20"/>
      <color theme="3"/>
      <name val="Century Gothic"/>
      <family val="2"/>
      <scheme val="major"/>
    </font>
    <font>
      <sz val="28"/>
      <color theme="3"/>
      <name val="Century Gothic"/>
      <family val="2"/>
      <scheme val="major"/>
    </font>
    <font>
      <sz val="11"/>
      <color theme="3"/>
      <name val="Segoe UI"/>
      <family val="2"/>
      <scheme val="minor"/>
    </font>
    <font>
      <sz val="12"/>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sz val="10"/>
      <color theme="0"/>
      <name val="Segoe UI"/>
      <family val="2"/>
      <scheme val="minor"/>
    </font>
    <font>
      <b/>
      <sz val="12"/>
      <color theme="0"/>
      <name val="Segoe UI"/>
      <family val="2"/>
      <scheme val="minor"/>
    </font>
    <font>
      <b/>
      <sz val="10"/>
      <color theme="0"/>
      <name val="Segoe UI"/>
      <family val="2"/>
      <scheme val="minor"/>
    </font>
    <font>
      <sz val="11"/>
      <name val="Segoe UI"/>
      <family val="2"/>
      <scheme val="minor"/>
    </font>
    <font>
      <sz val="10"/>
      <name val="Segoe UI"/>
      <family val="2"/>
      <scheme val="minor"/>
    </font>
    <font>
      <b/>
      <sz val="10"/>
      <color theme="3"/>
      <name val="Segoe UI"/>
      <family val="2"/>
      <scheme val="minor"/>
    </font>
    <font>
      <sz val="9"/>
      <color theme="3"/>
      <name val="Segoe UI"/>
      <family val="2"/>
      <scheme val="minor"/>
    </font>
    <font>
      <b/>
      <sz val="12"/>
      <color theme="1"/>
      <name val="Segoe UI"/>
      <family val="2"/>
      <scheme val="minor"/>
    </font>
    <font>
      <b/>
      <sz val="12"/>
      <color rgb="FF000000"/>
      <name val="Segoe UI"/>
      <family val="2"/>
      <scheme val="minor"/>
    </font>
    <font>
      <sz val="12"/>
      <color rgb="FF000000"/>
      <name val="Segoe UI"/>
      <family val="2"/>
      <scheme val="minor"/>
    </font>
    <font>
      <u/>
      <sz val="12"/>
      <color theme="10"/>
      <name val="Segoe UI"/>
      <family val="2"/>
      <scheme val="minor"/>
    </font>
    <font>
      <sz val="12"/>
      <color rgb="FF2D3E50"/>
      <name val="Segoe UI"/>
      <family val="2"/>
      <scheme val="minor"/>
    </font>
    <font>
      <sz val="10"/>
      <color rgb="FFFFFFFF"/>
      <name val="Segoe UI"/>
      <family val="2"/>
      <scheme val="minor"/>
    </font>
    <font>
      <b/>
      <sz val="10"/>
      <color rgb="FF2D3E50"/>
      <name val="Segoe UI"/>
      <family val="2"/>
      <scheme val="minor"/>
    </font>
    <font>
      <sz val="12"/>
      <color theme="0"/>
      <name val="Segoe UI"/>
      <family val="2"/>
      <scheme val="minor"/>
    </font>
    <font>
      <b/>
      <sz val="11"/>
      <name val="Segoe UI"/>
      <family val="2"/>
      <scheme val="minor"/>
    </font>
    <font>
      <sz val="11"/>
      <color rgb="FF222222"/>
      <name val="Segoe UI"/>
      <family val="2"/>
      <scheme val="minor"/>
    </font>
    <font>
      <sz val="11"/>
      <color theme="1"/>
      <name val="Segoe UI"/>
      <family val="2"/>
      <scheme val="minor"/>
    </font>
    <font>
      <sz val="11"/>
      <color indexed="8"/>
      <name val="Segoe UI"/>
      <family val="2"/>
      <scheme val="minor"/>
    </font>
    <font>
      <b/>
      <sz val="12"/>
      <color rgb="FFFFFFFF"/>
      <name val="Segoe UI"/>
      <family val="2"/>
      <scheme val="minor"/>
    </font>
    <font>
      <b/>
      <sz val="12"/>
      <color rgb="FFFFFFFF"/>
      <name val="Calibri"/>
      <family val="2"/>
    </font>
    <font>
      <b/>
      <sz val="12"/>
      <color rgb="FF000000"/>
      <name val="Calibri"/>
      <family val="2"/>
    </font>
    <font>
      <sz val="12"/>
      <color rgb="FF000000"/>
      <name val="Calibri"/>
      <family val="2"/>
    </font>
    <font>
      <sz val="12"/>
      <color indexed="8"/>
      <name val="Verdana"/>
      <family val="2"/>
    </font>
    <font>
      <sz val="12"/>
      <color theme="3"/>
      <name val="Calibri"/>
      <family val="2"/>
    </font>
    <font>
      <b/>
      <sz val="16"/>
      <color theme="1"/>
      <name val="Calibri"/>
      <family val="2"/>
    </font>
    <font>
      <b/>
      <sz val="12"/>
      <color theme="1"/>
      <name val="Calibri"/>
      <family val="2"/>
    </font>
    <font>
      <sz val="12"/>
      <color theme="0"/>
      <name val="Calibri"/>
      <family val="2"/>
    </font>
    <font>
      <sz val="12"/>
      <color rgb="FFFFFFFF"/>
      <name val="Calibri"/>
      <family val="2"/>
    </font>
    <font>
      <b/>
      <sz val="12"/>
      <color theme="3"/>
      <name val="Calibri"/>
      <family val="2"/>
    </font>
    <font>
      <sz val="12"/>
      <color rgb="FF2D3E50"/>
      <name val="Calibri"/>
      <family val="2"/>
    </font>
    <font>
      <b/>
      <i/>
      <sz val="12"/>
      <color rgb="FFFF0000"/>
      <name val="Calibri"/>
      <family val="2"/>
    </font>
    <font>
      <i/>
      <sz val="12"/>
      <color rgb="FFFF0000"/>
      <name val="Calibri"/>
      <family val="2"/>
    </font>
    <font>
      <b/>
      <sz val="12"/>
      <color rgb="FF2D3E50"/>
      <name val="Calibri"/>
      <family val="2"/>
    </font>
    <font>
      <b/>
      <sz val="10"/>
      <color theme="1"/>
      <name val="Calibri"/>
      <family val="2"/>
    </font>
    <font>
      <sz val="12"/>
      <color rgb="FFC00000"/>
      <name val="Calibri"/>
      <family val="2"/>
    </font>
    <font>
      <b/>
      <sz val="12"/>
      <color theme="0"/>
      <name val="Calibri"/>
      <family val="2"/>
    </font>
    <font>
      <sz val="12"/>
      <color theme="1"/>
      <name val="Calibri"/>
      <family val="2"/>
    </font>
    <font>
      <b/>
      <i/>
      <sz val="12"/>
      <color theme="1"/>
      <name val="Calibri"/>
      <family val="2"/>
    </font>
    <font>
      <i/>
      <sz val="12"/>
      <color theme="1"/>
      <name val="Segoe UI"/>
      <family val="2"/>
      <scheme val="minor"/>
    </font>
    <font>
      <sz val="10"/>
      <color theme="1"/>
      <name val="Calibri"/>
      <family val="2"/>
    </font>
    <font>
      <b/>
      <sz val="12"/>
      <color theme="0"/>
      <name val="Calibri (Body)"/>
    </font>
    <font>
      <sz val="12"/>
      <color rgb="FFFFFFFF"/>
      <name val="Segoe UI"/>
      <family val="2"/>
      <scheme val="minor"/>
    </font>
    <font>
      <b/>
      <sz val="12"/>
      <color rgb="FFFFFFFF"/>
      <name val="Calibri (Body)"/>
    </font>
    <font>
      <i/>
      <sz val="12"/>
      <color rgb="FF000000"/>
      <name val="Segoe UI"/>
      <family val="2"/>
      <scheme val="minor"/>
    </font>
    <font>
      <strike/>
      <sz val="12"/>
      <color theme="1"/>
      <name val="Segoe UI"/>
      <family val="2"/>
      <scheme val="minor"/>
    </font>
    <font>
      <b/>
      <sz val="18"/>
      <color theme="1"/>
      <name val="Calibri"/>
      <family val="2"/>
    </font>
    <font>
      <b/>
      <sz val="18"/>
      <name val="Calibri"/>
      <family val="2"/>
    </font>
    <font>
      <sz val="16"/>
      <color theme="3"/>
      <name val="Calibri"/>
      <family val="2"/>
    </font>
    <font>
      <sz val="20"/>
      <color theme="3"/>
      <name val="Calibri"/>
      <family val="2"/>
    </font>
    <font>
      <b/>
      <sz val="16"/>
      <color theme="3"/>
      <name val="Calibri"/>
      <family val="2"/>
    </font>
  </fonts>
  <fills count="62">
    <fill>
      <patternFill patternType="none"/>
    </fill>
    <fill>
      <patternFill patternType="gray125"/>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A8AA"/>
        <bgColor indexed="64"/>
      </patternFill>
    </fill>
    <fill>
      <patternFill patternType="solid">
        <fgColor rgb="FF55BDBA"/>
        <bgColor auto="1"/>
      </patternFill>
    </fill>
    <fill>
      <patternFill patternType="solid">
        <fgColor rgb="FF557F8C"/>
        <bgColor auto="1"/>
      </patternFill>
    </fill>
    <fill>
      <patternFill patternType="solid">
        <fgColor rgb="FF325466"/>
        <bgColor auto="1"/>
      </patternFill>
    </fill>
    <fill>
      <patternFill patternType="solid">
        <fgColor rgb="FF2F2E2E"/>
        <bgColor auto="1"/>
      </patternFill>
    </fill>
    <fill>
      <patternFill patternType="solid">
        <fgColor rgb="FF32536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B0DFDB"/>
        <bgColor indexed="64"/>
      </patternFill>
    </fill>
    <fill>
      <patternFill patternType="solid">
        <fgColor rgb="FF325466"/>
        <bgColor indexed="64"/>
      </patternFill>
    </fill>
    <fill>
      <patternFill patternType="solid">
        <fgColor rgb="FFB0DFDB"/>
        <bgColor rgb="FF000000"/>
      </patternFill>
    </fill>
    <fill>
      <patternFill patternType="solid">
        <fgColor rgb="FFD9D9D9"/>
        <bgColor rgb="FF000000"/>
      </patternFill>
    </fill>
    <fill>
      <patternFill patternType="solid">
        <fgColor rgb="FF00A8AA"/>
        <bgColor rgb="FF000000"/>
      </patternFill>
    </fill>
    <fill>
      <patternFill patternType="solid">
        <fgColor rgb="FF325365"/>
        <bgColor rgb="FF000000"/>
      </patternFill>
    </fill>
    <fill>
      <patternFill patternType="solid">
        <fgColor rgb="FFFFFF00"/>
        <bgColor indexed="64"/>
      </patternFill>
    </fill>
    <fill>
      <patternFill patternType="solid">
        <fgColor rgb="FF325466"/>
        <bgColor rgb="FF000000"/>
      </patternFill>
    </fill>
    <fill>
      <patternFill patternType="solid">
        <fgColor rgb="FFFF0000"/>
        <bgColor indexed="64"/>
      </patternFill>
    </fill>
    <fill>
      <patternFill patternType="solid">
        <fgColor rgb="FF00AEB4"/>
        <bgColor indexed="64"/>
      </patternFill>
    </fill>
    <fill>
      <patternFill patternType="solid">
        <fgColor rgb="FF55BDBA"/>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55BDBA"/>
        <bgColor rgb="FF000000"/>
      </patternFill>
    </fill>
    <fill>
      <patternFill patternType="solid">
        <fgColor rgb="FFD6DCE4"/>
        <bgColor rgb="FF000000"/>
      </patternFill>
    </fill>
    <fill>
      <patternFill patternType="solid">
        <fgColor rgb="FFFF0000"/>
        <bgColor rgb="FF000000"/>
      </patternFill>
    </fill>
  </fills>
  <borders count="48">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indexed="64"/>
      </top>
      <bottom/>
      <diagonal/>
    </border>
    <border>
      <left/>
      <right/>
      <top/>
      <bottom style="thin">
        <color indexed="64"/>
      </bottom>
      <diagonal/>
    </border>
    <border>
      <left/>
      <right/>
      <top style="thin">
        <color theme="0" tint="-0.24994659260841701"/>
      </top>
      <bottom style="thin">
        <color theme="0" tint="-0.24994659260841701"/>
      </bottom>
      <diagonal/>
    </border>
    <border>
      <left/>
      <right/>
      <top style="thin">
        <color rgb="FFBFBFBF"/>
      </top>
      <bottom style="thin">
        <color rgb="FFBFBFBF"/>
      </bottom>
      <diagonal/>
    </border>
    <border>
      <left/>
      <right/>
      <top/>
      <bottom style="thin">
        <color rgb="FFBFBFBF"/>
      </bottom>
      <diagonal/>
    </border>
    <border>
      <left/>
      <right style="thin">
        <color theme="1"/>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style="medium">
        <color indexed="64"/>
      </right>
      <top style="medium">
        <color indexed="64"/>
      </top>
      <bottom style="thin">
        <color theme="0"/>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right style="thin">
        <color theme="0"/>
      </right>
      <top style="medium">
        <color indexed="64"/>
      </top>
      <bottom style="thin">
        <color theme="0"/>
      </bottom>
      <diagonal/>
    </border>
    <border>
      <left style="medium">
        <color auto="1"/>
      </left>
      <right/>
      <top style="thin">
        <color theme="0"/>
      </top>
      <bottom/>
      <diagonal/>
    </border>
    <border>
      <left/>
      <right style="medium">
        <color indexed="64"/>
      </right>
      <top style="thin">
        <color theme="0"/>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52">
    <xf numFmtId="0" fontId="0" fillId="0" borderId="0"/>
    <xf numFmtId="0" fontId="7" fillId="0" borderId="0" applyNumberFormat="0" applyFill="0" applyBorder="0" applyProtection="0">
      <alignment horizontal="right" indent="2"/>
    </xf>
    <xf numFmtId="0" fontId="5" fillId="0" borderId="0" applyNumberFormat="0" applyFill="0" applyProtection="0">
      <alignment horizontal="center" vertical="center"/>
    </xf>
    <xf numFmtId="0" fontId="3" fillId="0" borderId="0" applyNumberFormat="0" applyFill="0" applyAlignment="0" applyProtection="0"/>
    <xf numFmtId="0" fontId="6" fillId="0" borderId="0" applyNumberFormat="0" applyAlignment="0" applyProtection="0"/>
    <xf numFmtId="0" fontId="4" fillId="0" borderId="0">
      <alignment horizontal="left" vertical="center" indent="2"/>
    </xf>
    <xf numFmtId="43"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0" fontId="10" fillId="0" borderId="1"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2" applyNumberFormat="0" applyAlignment="0" applyProtection="0"/>
    <xf numFmtId="0" fontId="15" fillId="7" borderId="3" applyNumberFormat="0" applyAlignment="0" applyProtection="0"/>
    <xf numFmtId="0" fontId="16" fillId="0" borderId="4" applyNumberFormat="0" applyFill="0" applyAlignment="0" applyProtection="0"/>
    <xf numFmtId="0" fontId="17" fillId="8" borderId="5" applyNumberFormat="0" applyAlignment="0" applyProtection="0"/>
    <xf numFmtId="0" fontId="18" fillId="0" borderId="0" applyNumberFormat="0" applyFill="0" applyBorder="0" applyAlignment="0" applyProtection="0"/>
    <xf numFmtId="0" fontId="9" fillId="9" borderId="6" applyNumberFormat="0" applyFont="0" applyAlignment="0" applyProtection="0"/>
    <xf numFmtId="0" fontId="19" fillId="0" borderId="0" applyNumberFormat="0" applyFill="0" applyBorder="0" applyAlignment="0" applyProtection="0"/>
    <xf numFmtId="0" fontId="20" fillId="0" borderId="7"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2" fillId="0" borderId="0" applyNumberFormat="0" applyFill="0" applyBorder="0" applyAlignment="0" applyProtection="0"/>
    <xf numFmtId="0" fontId="45" fillId="0" borderId="0" applyNumberFormat="0" applyFill="0" applyBorder="0" applyProtection="0">
      <alignment vertical="top" wrapText="1"/>
    </xf>
    <xf numFmtId="0" fontId="1" fillId="0" borderId="0"/>
    <xf numFmtId="43" fontId="1" fillId="0" borderId="0" applyFont="0" applyFill="0" applyBorder="0" applyAlignment="0" applyProtection="0"/>
  </cellStyleXfs>
  <cellXfs count="442">
    <xf numFmtId="0" fontId="0" fillId="0" borderId="0" xfId="0"/>
    <xf numFmtId="0" fontId="8" fillId="0" borderId="0" xfId="0" applyFont="1" applyFill="1" applyBorder="1" applyAlignment="1" applyProtection="1">
      <alignment horizontal="left" vertical="center"/>
      <protection locked="0"/>
    </xf>
    <xf numFmtId="3" fontId="8" fillId="0" borderId="0" xfId="0" applyNumberFormat="1" applyFont="1" applyFill="1" applyBorder="1" applyAlignment="1" applyProtection="1">
      <alignment horizontal="left" vertical="center"/>
      <protection locked="0"/>
    </xf>
    <xf numFmtId="167" fontId="8" fillId="0" borderId="0" xfId="0" applyNumberFormat="1" applyFont="1" applyFill="1" applyBorder="1" applyAlignment="1" applyProtection="1">
      <alignment horizontal="left" vertical="center"/>
      <protection locked="0"/>
    </xf>
    <xf numFmtId="0" fontId="10" fillId="0" borderId="0" xfId="0" applyFont="1" applyFill="1" applyBorder="1" applyAlignment="1" applyProtection="1">
      <alignment horizontal="left" vertical="center"/>
      <protection locked="0"/>
    </xf>
    <xf numFmtId="0" fontId="59" fillId="52" borderId="25" xfId="49" applyNumberFormat="1" applyFont="1" applyFill="1" applyBorder="1" applyAlignment="1" applyProtection="1">
      <alignment horizontal="center" vertical="center"/>
      <protection locked="0"/>
    </xf>
    <xf numFmtId="0" fontId="1" fillId="0" borderId="0" xfId="50" applyAlignment="1">
      <alignment horizontal="center" vertical="center"/>
    </xf>
    <xf numFmtId="0" fontId="29" fillId="0" borderId="0" xfId="50" applyFont="1" applyAlignment="1">
      <alignment horizontal="center" vertical="center"/>
    </xf>
    <xf numFmtId="0" fontId="29" fillId="46" borderId="0" xfId="50" applyFont="1" applyFill="1"/>
    <xf numFmtId="0" fontId="29" fillId="46" borderId="0" xfId="50" applyFont="1" applyFill="1" applyAlignment="1">
      <alignment horizontal="center" vertical="center"/>
    </xf>
    <xf numFmtId="0" fontId="29" fillId="46" borderId="0" xfId="50" applyFont="1" applyFill="1" applyAlignment="1">
      <alignment horizontal="left" vertical="center"/>
    </xf>
    <xf numFmtId="2" fontId="29" fillId="46" borderId="0" xfId="50" applyNumberFormat="1" applyFont="1" applyFill="1" applyAlignment="1">
      <alignment horizontal="center" vertical="center"/>
    </xf>
    <xf numFmtId="0" fontId="29" fillId="0" borderId="0" xfId="50" applyFont="1"/>
    <xf numFmtId="1" fontId="29" fillId="0" borderId="0" xfId="50" applyNumberFormat="1" applyFont="1" applyAlignment="1">
      <alignment horizontal="center" vertical="center"/>
    </xf>
    <xf numFmtId="0" fontId="1" fillId="0" borderId="0" xfId="50"/>
    <xf numFmtId="0" fontId="1" fillId="0" borderId="0" xfId="50" applyAlignment="1">
      <alignment horizontal="left" vertical="center"/>
    </xf>
    <xf numFmtId="2" fontId="1" fillId="0" borderId="0" xfId="50" applyNumberFormat="1" applyAlignment="1">
      <alignment horizontal="center" vertical="center"/>
    </xf>
    <xf numFmtId="1" fontId="1" fillId="0" borderId="0" xfId="50" applyNumberFormat="1" applyAlignment="1">
      <alignment horizontal="center" vertical="center"/>
    </xf>
    <xf numFmtId="0" fontId="31" fillId="0" borderId="0" xfId="50" applyFont="1"/>
    <xf numFmtId="0" fontId="31" fillId="0" borderId="0" xfId="50" applyFont="1" applyAlignment="1">
      <alignment horizontal="center" vertical="center"/>
    </xf>
    <xf numFmtId="0" fontId="31" fillId="0" borderId="0" xfId="50" applyFont="1" applyAlignment="1">
      <alignment horizontal="left" vertical="center"/>
    </xf>
    <xf numFmtId="2" fontId="31" fillId="0" borderId="0" xfId="50" applyNumberFormat="1" applyFont="1" applyAlignment="1">
      <alignment horizontal="center" vertical="center"/>
    </xf>
    <xf numFmtId="1" fontId="31" fillId="0" borderId="0" xfId="50" applyNumberFormat="1" applyFont="1" applyAlignment="1">
      <alignment horizontal="center" vertical="center"/>
    </xf>
    <xf numFmtId="2" fontId="1" fillId="0" borderId="0" xfId="50" applyNumberFormat="1"/>
    <xf numFmtId="2" fontId="67" fillId="0" borderId="0" xfId="50" applyNumberFormat="1" applyFont="1" applyAlignment="1">
      <alignment horizontal="center" vertical="center"/>
    </xf>
    <xf numFmtId="0" fontId="46" fillId="0" borderId="0" xfId="0" applyFont="1" applyProtection="1">
      <protection locked="0"/>
    </xf>
    <xf numFmtId="0" fontId="46" fillId="0" borderId="0" xfId="0" applyFont="1" applyBorder="1" applyProtection="1">
      <protection locked="0"/>
    </xf>
    <xf numFmtId="0" fontId="57" fillId="0" borderId="0" xfId="0" applyFont="1" applyProtection="1">
      <protection locked="0"/>
    </xf>
    <xf numFmtId="9" fontId="49" fillId="54" borderId="0" xfId="0" applyNumberFormat="1" applyFont="1" applyFill="1" applyAlignment="1" applyProtection="1">
      <alignment horizontal="center" vertical="center"/>
      <protection locked="0"/>
    </xf>
    <xf numFmtId="0" fontId="46" fillId="0" borderId="27" xfId="0" applyFont="1" applyBorder="1" applyAlignment="1" applyProtection="1">
      <alignment horizontal="center" vertical="center"/>
      <protection locked="0"/>
    </xf>
    <xf numFmtId="0" fontId="48" fillId="46" borderId="24" xfId="0" applyFont="1" applyFill="1" applyBorder="1" applyAlignment="1" applyProtection="1">
      <alignment horizontal="center" vertical="center"/>
    </xf>
    <xf numFmtId="0" fontId="44" fillId="0" borderId="24" xfId="0" applyFont="1" applyBorder="1" applyProtection="1"/>
    <xf numFmtId="0" fontId="44" fillId="0" borderId="0" xfId="0" applyFont="1" applyBorder="1" applyAlignment="1" applyProtection="1">
      <alignment horizontal="center" vertical="center"/>
    </xf>
    <xf numFmtId="1" fontId="44" fillId="0" borderId="0" xfId="0" applyNumberFormat="1" applyFont="1" applyBorder="1" applyAlignment="1" applyProtection="1">
      <alignment horizontal="center" vertical="center"/>
    </xf>
    <xf numFmtId="1" fontId="44" fillId="0" borderId="25" xfId="0" applyNumberFormat="1" applyFont="1" applyBorder="1" applyAlignment="1" applyProtection="1">
      <alignment horizontal="center" vertical="center"/>
    </xf>
    <xf numFmtId="0" fontId="44" fillId="0" borderId="26" xfId="0" applyFont="1" applyBorder="1" applyProtection="1"/>
    <xf numFmtId="0" fontId="44" fillId="0" borderId="27" xfId="0" applyFont="1" applyBorder="1" applyAlignment="1" applyProtection="1">
      <alignment horizontal="center" vertical="center"/>
    </xf>
    <xf numFmtId="1" fontId="44" fillId="0" borderId="27" xfId="0" applyNumberFormat="1" applyFont="1" applyBorder="1" applyAlignment="1" applyProtection="1">
      <alignment horizontal="center" vertical="center"/>
    </xf>
    <xf numFmtId="1" fontId="44" fillId="0" borderId="28" xfId="0" applyNumberFormat="1" applyFont="1" applyBorder="1" applyAlignment="1" applyProtection="1">
      <alignment horizontal="center" vertical="center"/>
    </xf>
    <xf numFmtId="0" fontId="44" fillId="0" borderId="0" xfId="0" applyFont="1" applyProtection="1"/>
    <xf numFmtId="0" fontId="44" fillId="0" borderId="0" xfId="0" applyFont="1" applyAlignment="1" applyProtection="1">
      <alignment horizontal="center" vertical="center"/>
    </xf>
    <xf numFmtId="0" fontId="46" fillId="0" borderId="0" xfId="0" applyFont="1" applyProtection="1"/>
    <xf numFmtId="0" fontId="46" fillId="0" borderId="0" xfId="0" applyFont="1" applyBorder="1" applyAlignment="1" applyProtection="1">
      <alignment horizontal="center" vertical="center"/>
    </xf>
    <xf numFmtId="0" fontId="46" fillId="0" borderId="27" xfId="0" applyFont="1" applyBorder="1" applyAlignment="1" applyProtection="1">
      <alignment horizontal="center" vertical="center"/>
    </xf>
    <xf numFmtId="0" fontId="59" fillId="0" borderId="24" xfId="0" applyFont="1" applyBorder="1" applyAlignment="1" applyProtection="1">
      <alignment horizontal="left" vertical="center"/>
      <protection locked="0"/>
    </xf>
    <xf numFmtId="0" fontId="0" fillId="0" borderId="0" xfId="0" applyProtection="1">
      <protection locked="0"/>
    </xf>
    <xf numFmtId="0" fontId="0" fillId="0" borderId="0" xfId="0" applyAlignment="1" applyProtection="1">
      <alignment horizontal="center" vertical="center"/>
      <protection locked="0"/>
    </xf>
    <xf numFmtId="0" fontId="17" fillId="39" borderId="9" xfId="0" applyFont="1" applyFill="1" applyBorder="1" applyAlignment="1" applyProtection="1">
      <alignment horizontal="left" vertical="center"/>
      <protection locked="0"/>
    </xf>
    <xf numFmtId="0" fontId="24" fillId="39" borderId="11" xfId="0" applyFont="1" applyFill="1" applyBorder="1" applyAlignment="1" applyProtection="1">
      <alignment horizontal="left" vertical="center"/>
      <protection locked="0"/>
    </xf>
    <xf numFmtId="0" fontId="17" fillId="39" borderId="15" xfId="0" applyFont="1" applyFill="1" applyBorder="1" applyAlignment="1" applyProtection="1">
      <alignment horizontal="center" vertical="center"/>
      <protection locked="0"/>
    </xf>
    <xf numFmtId="0" fontId="17" fillId="39" borderId="10" xfId="0" applyFont="1" applyFill="1" applyBorder="1" applyAlignment="1" applyProtection="1">
      <alignment horizontal="center" vertical="center"/>
      <protection locked="0"/>
    </xf>
    <xf numFmtId="0" fontId="23" fillId="39" borderId="0" xfId="0" applyFont="1" applyFill="1" applyAlignment="1" applyProtection="1">
      <alignment horizontal="center" vertical="center"/>
      <protection locked="0"/>
    </xf>
    <xf numFmtId="0" fontId="25" fillId="0" borderId="9" xfId="0" applyFont="1" applyFill="1" applyBorder="1" applyAlignment="1" applyProtection="1">
      <alignment horizontal="left" vertical="center"/>
      <protection locked="0"/>
    </xf>
    <xf numFmtId="170" fontId="25" fillId="0" borderId="15" xfId="0" applyNumberFormat="1" applyFont="1" applyFill="1" applyBorder="1" applyAlignment="1" applyProtection="1">
      <alignment horizontal="center" vertical="center"/>
      <protection locked="0"/>
    </xf>
    <xf numFmtId="0" fontId="25" fillId="0" borderId="10" xfId="0" applyFont="1" applyFill="1" applyBorder="1" applyAlignment="1" applyProtection="1">
      <alignment horizontal="center" vertical="center"/>
      <protection locked="0"/>
    </xf>
    <xf numFmtId="0" fontId="30" fillId="41" borderId="0" xfId="0" applyFont="1" applyFill="1" applyAlignment="1" applyProtection="1">
      <alignment horizontal="center" vertical="center"/>
      <protection locked="0"/>
    </xf>
    <xf numFmtId="1" fontId="31" fillId="0" borderId="0" xfId="0" applyNumberFormat="1" applyFont="1" applyAlignment="1" applyProtection="1">
      <alignment horizontal="center" vertical="center"/>
      <protection locked="0"/>
    </xf>
    <xf numFmtId="0" fontId="25" fillId="0" borderId="11" xfId="0" applyFont="1" applyFill="1" applyBorder="1" applyAlignment="1" applyProtection="1">
      <alignment horizontal="left" vertical="center"/>
      <protection locked="0"/>
    </xf>
    <xf numFmtId="0" fontId="25" fillId="0" borderId="0" xfId="0" applyFont="1" applyFill="1" applyBorder="1" applyAlignment="1" applyProtection="1">
      <alignment horizontal="center" vertical="center"/>
      <protection locked="0"/>
    </xf>
    <xf numFmtId="0" fontId="25" fillId="0" borderId="12" xfId="0" applyFont="1" applyFill="1" applyBorder="1" applyAlignment="1" applyProtection="1">
      <alignment horizontal="center" vertical="center"/>
      <protection locked="0"/>
    </xf>
    <xf numFmtId="0" fontId="30" fillId="42" borderId="0" xfId="0" applyFont="1" applyFill="1" applyAlignment="1" applyProtection="1">
      <alignment horizontal="center" vertical="center"/>
      <protection locked="0"/>
    </xf>
    <xf numFmtId="0" fontId="30" fillId="43" borderId="0" xfId="0" applyFont="1" applyFill="1" applyAlignment="1" applyProtection="1">
      <alignment horizontal="center" vertical="center"/>
      <protection locked="0"/>
    </xf>
    <xf numFmtId="168" fontId="8" fillId="0" borderId="0" xfId="0" applyNumberFormat="1" applyFont="1" applyFill="1" applyBorder="1" applyAlignment="1" applyProtection="1">
      <alignment horizontal="left" vertical="center"/>
      <protection locked="0"/>
    </xf>
    <xf numFmtId="0" fontId="25" fillId="0" borderId="0" xfId="0" applyFont="1" applyFill="1" applyBorder="1" applyProtection="1">
      <protection locked="0"/>
    </xf>
    <xf numFmtId="0" fontId="30" fillId="44" borderId="0" xfId="0" applyFont="1" applyFill="1" applyAlignment="1" applyProtection="1">
      <alignment horizontal="center" vertical="center"/>
      <protection locked="0"/>
    </xf>
    <xf numFmtId="9" fontId="8" fillId="0" borderId="0" xfId="10" applyFont="1" applyFill="1" applyBorder="1" applyAlignment="1" applyProtection="1">
      <alignment horizontal="left" vertical="center"/>
      <protection locked="0"/>
    </xf>
    <xf numFmtId="0" fontId="30" fillId="45" borderId="0" xfId="0" applyFont="1" applyFill="1" applyAlignment="1" applyProtection="1">
      <alignment horizontal="center" vertical="center"/>
      <protection locked="0"/>
    </xf>
    <xf numFmtId="0" fontId="25" fillId="0" borderId="13" xfId="0" applyFont="1" applyFill="1" applyBorder="1" applyAlignment="1" applyProtection="1">
      <alignment horizontal="left" vertical="center"/>
      <protection locked="0"/>
    </xf>
    <xf numFmtId="0" fontId="25" fillId="0" borderId="16" xfId="0" applyFont="1" applyFill="1" applyBorder="1" applyAlignment="1" applyProtection="1">
      <alignment horizontal="center" vertical="center"/>
      <protection locked="0"/>
    </xf>
    <xf numFmtId="0" fontId="25" fillId="0" borderId="16" xfId="0" applyFont="1" applyFill="1" applyBorder="1" applyProtection="1">
      <protection locked="0"/>
    </xf>
    <xf numFmtId="0" fontId="25" fillId="0" borderId="14" xfId="0" applyFont="1" applyFill="1" applyBorder="1" applyAlignment="1" applyProtection="1">
      <alignment horizontal="center" vertical="center"/>
      <protection locked="0"/>
    </xf>
    <xf numFmtId="0" fontId="30" fillId="2" borderId="0" xfId="0" applyFont="1" applyFill="1" applyAlignment="1" applyProtection="1">
      <alignment horizontal="center" vertical="center"/>
      <protection locked="0"/>
    </xf>
    <xf numFmtId="1" fontId="0" fillId="0" borderId="0" xfId="0" applyNumberFormat="1" applyAlignment="1" applyProtection="1">
      <alignment horizontal="center" vertical="center"/>
      <protection locked="0"/>
    </xf>
    <xf numFmtId="0" fontId="24" fillId="39" borderId="13" xfId="0" applyFont="1" applyFill="1" applyBorder="1" applyAlignment="1" applyProtection="1">
      <alignment horizontal="left" vertical="center"/>
      <protection locked="0"/>
    </xf>
    <xf numFmtId="1" fontId="26" fillId="0" borderId="0" xfId="0" applyNumberFormat="1" applyFont="1" applyFill="1" applyBorder="1" applyAlignment="1" applyProtection="1">
      <alignment horizontal="center" vertical="center"/>
      <protection locked="0"/>
    </xf>
    <xf numFmtId="21" fontId="0" fillId="0" borderId="0" xfId="0" applyNumberFormat="1" applyProtection="1">
      <protection locked="0"/>
    </xf>
    <xf numFmtId="45" fontId="0" fillId="0" borderId="0" xfId="0" applyNumberFormat="1" applyProtection="1">
      <protection locked="0"/>
    </xf>
    <xf numFmtId="0" fontId="33" fillId="0" borderId="0" xfId="0" applyFont="1" applyProtection="1">
      <protection locked="0"/>
    </xf>
    <xf numFmtId="0" fontId="34" fillId="50" borderId="0" xfId="0" applyFont="1" applyFill="1" applyAlignment="1" applyProtection="1">
      <alignment horizontal="center" vertical="center" wrapText="1"/>
      <protection locked="0"/>
    </xf>
    <xf numFmtId="0" fontId="22" fillId="35" borderId="0" xfId="2" applyFont="1" applyFill="1" applyBorder="1" applyAlignment="1" applyProtection="1">
      <alignment horizontal="center" vertical="center" wrapText="1"/>
      <protection locked="0"/>
    </xf>
    <xf numFmtId="0" fontId="22" fillId="36" borderId="0" xfId="2" applyFont="1" applyFill="1" applyBorder="1" applyAlignment="1" applyProtection="1">
      <alignment horizontal="center" vertical="center" wrapText="1"/>
      <protection locked="0"/>
    </xf>
    <xf numFmtId="0" fontId="22" fillId="37" borderId="0" xfId="2" applyFont="1" applyFill="1" applyBorder="1" applyAlignment="1" applyProtection="1">
      <alignment horizontal="center" vertical="center" wrapText="1"/>
      <protection locked="0"/>
    </xf>
    <xf numFmtId="0" fontId="22" fillId="38" borderId="0" xfId="2" applyFont="1" applyFill="1" applyBorder="1" applyAlignment="1" applyProtection="1">
      <alignment horizontal="center" vertical="center" wrapText="1"/>
      <protection locked="0"/>
    </xf>
    <xf numFmtId="0" fontId="35" fillId="0" borderId="18" xfId="0" applyFont="1" applyBorder="1" applyAlignment="1" applyProtection="1">
      <alignment horizontal="right"/>
      <protection locked="0"/>
    </xf>
    <xf numFmtId="0" fontId="35" fillId="0" borderId="18" xfId="0" applyFont="1" applyBorder="1" applyAlignment="1" applyProtection="1">
      <alignment vertical="center"/>
      <protection locked="0"/>
    </xf>
    <xf numFmtId="0" fontId="27" fillId="0" borderId="17" xfId="0" applyFont="1" applyBorder="1" applyAlignment="1" applyProtection="1">
      <alignment vertical="center"/>
      <protection locked="0"/>
    </xf>
    <xf numFmtId="1" fontId="27" fillId="0" borderId="17" xfId="0" applyNumberFormat="1" applyFont="1" applyBorder="1" applyAlignment="1" applyProtection="1">
      <alignment horizontal="center" vertical="center"/>
      <protection locked="0"/>
    </xf>
    <xf numFmtId="9" fontId="27" fillId="0" borderId="17" xfId="0" applyNumberFormat="1" applyFont="1" applyBorder="1" applyAlignment="1" applyProtection="1">
      <alignment vertical="center"/>
      <protection locked="0"/>
    </xf>
    <xf numFmtId="9" fontId="0" fillId="0" borderId="17" xfId="10" applyFont="1" applyBorder="1" applyProtection="1">
      <protection locked="0"/>
    </xf>
    <xf numFmtId="0" fontId="35" fillId="0" borderId="19" xfId="0" applyFont="1" applyBorder="1" applyAlignment="1" applyProtection="1">
      <alignment horizontal="right"/>
      <protection locked="0"/>
    </xf>
    <xf numFmtId="9" fontId="27" fillId="0" borderId="17" xfId="10" applyFont="1" applyBorder="1" applyProtection="1">
      <protection locked="0"/>
    </xf>
    <xf numFmtId="9" fontId="27" fillId="0" borderId="17" xfId="10" applyFont="1" applyBorder="1" applyAlignment="1" applyProtection="1">
      <alignment horizontal="center" vertical="center"/>
      <protection locked="0"/>
    </xf>
    <xf numFmtId="9" fontId="28" fillId="0" borderId="0" xfId="0" applyNumberFormat="1" applyFont="1" applyProtection="1">
      <protection locked="0"/>
    </xf>
    <xf numFmtId="9" fontId="28" fillId="0" borderId="0" xfId="0" applyNumberFormat="1" applyFont="1" applyAlignment="1" applyProtection="1">
      <alignment horizontal="center" vertical="center"/>
      <protection locked="0"/>
    </xf>
    <xf numFmtId="0" fontId="27" fillId="0" borderId="0" xfId="0" applyFont="1" applyFill="1" applyBorder="1" applyAlignment="1" applyProtection="1">
      <alignment horizontal="right"/>
      <protection locked="0"/>
    </xf>
    <xf numFmtId="0" fontId="46" fillId="0" borderId="0" xfId="0" applyFont="1" applyAlignment="1" applyProtection="1">
      <alignment horizontal="right"/>
      <protection locked="0"/>
    </xf>
    <xf numFmtId="0" fontId="38" fillId="0" borderId="0" xfId="0" applyFont="1" applyAlignment="1" applyProtection="1">
      <alignment vertical="top" wrapText="1"/>
      <protection locked="0"/>
    </xf>
    <xf numFmtId="0" fontId="39" fillId="0" borderId="0" xfId="0" applyFont="1" applyAlignment="1" applyProtection="1">
      <alignment vertical="top" wrapText="1"/>
      <protection locked="0"/>
    </xf>
    <xf numFmtId="0" fontId="40" fillId="0" borderId="0" xfId="0" applyFont="1" applyAlignment="1" applyProtection="1">
      <alignment vertical="top" wrapText="1"/>
      <protection locked="0"/>
    </xf>
    <xf numFmtId="0" fontId="46" fillId="0" borderId="0" xfId="0" applyFont="1" applyAlignment="1" applyProtection="1">
      <alignment horizontal="center" vertical="center"/>
      <protection locked="0"/>
    </xf>
    <xf numFmtId="0" fontId="58" fillId="39" borderId="21" xfId="0" applyFont="1" applyFill="1" applyBorder="1" applyAlignment="1" applyProtection="1">
      <alignment horizontal="center" vertical="center"/>
      <protection locked="0"/>
    </xf>
    <xf numFmtId="0" fontId="58" fillId="39" borderId="24" xfId="0" applyFont="1" applyFill="1" applyBorder="1" applyAlignment="1" applyProtection="1">
      <alignment horizontal="center" vertical="center"/>
      <protection locked="0"/>
    </xf>
    <xf numFmtId="0" fontId="48" fillId="0" borderId="0" xfId="0" applyFont="1" applyBorder="1" applyAlignment="1" applyProtection="1">
      <alignment horizontal="right" vertical="top"/>
      <protection locked="0"/>
    </xf>
    <xf numFmtId="0" fontId="46" fillId="0" borderId="20" xfId="0" applyFont="1" applyBorder="1" applyProtection="1">
      <protection locked="0"/>
    </xf>
    <xf numFmtId="0" fontId="42" fillId="51" borderId="21" xfId="0" applyFont="1" applyFill="1" applyBorder="1" applyAlignment="1" applyProtection="1">
      <alignment horizontal="center" vertical="center"/>
      <protection locked="0"/>
    </xf>
    <xf numFmtId="0" fontId="58" fillId="39" borderId="22" xfId="0" applyFont="1" applyFill="1" applyBorder="1" applyAlignment="1" applyProtection="1">
      <alignment horizontal="center" vertical="center"/>
      <protection locked="0"/>
    </xf>
    <xf numFmtId="0" fontId="58" fillId="34" borderId="23" xfId="0" applyFont="1" applyFill="1" applyBorder="1" applyAlignment="1" applyProtection="1">
      <alignment horizontal="center" vertical="center"/>
      <protection locked="0"/>
    </xf>
    <xf numFmtId="0" fontId="43" fillId="41" borderId="24" xfId="0" applyFont="1" applyFill="1" applyBorder="1" applyAlignment="1" applyProtection="1">
      <alignment horizontal="center" vertical="center"/>
      <protection locked="0"/>
    </xf>
    <xf numFmtId="0" fontId="46" fillId="52" borderId="0" xfId="0" applyFont="1" applyFill="1" applyBorder="1" applyAlignment="1" applyProtection="1">
      <alignment horizontal="center" vertical="center"/>
      <protection locked="0"/>
    </xf>
    <xf numFmtId="0" fontId="43" fillId="42" borderId="24" xfId="0" applyFont="1" applyFill="1" applyBorder="1" applyAlignment="1" applyProtection="1">
      <alignment horizontal="center" vertical="center"/>
      <protection locked="0"/>
    </xf>
    <xf numFmtId="0" fontId="58" fillId="47" borderId="24" xfId="0" applyFont="1" applyFill="1" applyBorder="1" applyAlignment="1" applyProtection="1">
      <alignment horizontal="center" vertical="center"/>
      <protection locked="0"/>
    </xf>
    <xf numFmtId="0" fontId="49" fillId="39" borderId="0" xfId="0" applyFont="1" applyFill="1" applyBorder="1" applyAlignment="1" applyProtection="1">
      <alignment horizontal="center" vertical="center"/>
      <protection locked="0"/>
    </xf>
    <xf numFmtId="0" fontId="49" fillId="39" borderId="25" xfId="0" applyFont="1" applyFill="1" applyBorder="1" applyAlignment="1" applyProtection="1">
      <alignment horizontal="center" vertical="center"/>
      <protection locked="0"/>
    </xf>
    <xf numFmtId="0" fontId="43" fillId="43" borderId="24" xfId="0" applyFont="1" applyFill="1" applyBorder="1" applyAlignment="1" applyProtection="1">
      <alignment horizontal="center" vertical="center"/>
      <protection locked="0"/>
    </xf>
    <xf numFmtId="0" fontId="43" fillId="44" borderId="24" xfId="0" applyFont="1" applyFill="1" applyBorder="1" applyAlignment="1" applyProtection="1">
      <alignment horizontal="center" vertical="center"/>
      <protection locked="0"/>
    </xf>
    <xf numFmtId="0" fontId="43" fillId="45" borderId="24" xfId="0" applyFont="1" applyFill="1" applyBorder="1" applyAlignment="1" applyProtection="1">
      <alignment horizontal="center" vertical="center"/>
      <protection locked="0"/>
    </xf>
    <xf numFmtId="0" fontId="58" fillId="39" borderId="26" xfId="0" applyFont="1" applyFill="1" applyBorder="1" applyAlignment="1" applyProtection="1">
      <alignment horizontal="center" vertical="center"/>
      <protection locked="0"/>
    </xf>
    <xf numFmtId="0" fontId="43" fillId="2" borderId="24" xfId="0" applyFont="1" applyFill="1" applyBorder="1" applyAlignment="1" applyProtection="1">
      <alignment horizontal="center" vertical="center"/>
      <protection locked="0"/>
    </xf>
    <xf numFmtId="0" fontId="58" fillId="47" borderId="26" xfId="0" applyFont="1" applyFill="1" applyBorder="1" applyAlignment="1" applyProtection="1">
      <alignment horizontal="center" vertical="center"/>
      <protection locked="0"/>
    </xf>
    <xf numFmtId="0" fontId="58" fillId="39" borderId="23" xfId="0" applyFont="1" applyFill="1" applyBorder="1" applyAlignment="1" applyProtection="1">
      <alignment horizontal="center" vertical="center" wrapText="1"/>
      <protection locked="0"/>
    </xf>
    <xf numFmtId="0" fontId="51" fillId="0" borderId="0" xfId="0" applyFont="1" applyAlignment="1" applyProtection="1">
      <alignment horizontal="center" vertical="center"/>
      <protection locked="0"/>
    </xf>
    <xf numFmtId="0" fontId="51" fillId="0" borderId="0" xfId="0" applyFont="1" applyProtection="1">
      <protection locked="0"/>
    </xf>
    <xf numFmtId="1" fontId="46" fillId="0" borderId="25" xfId="0" applyNumberFormat="1" applyFont="1" applyFill="1" applyBorder="1" applyAlignment="1" applyProtection="1">
      <alignment horizontal="center" vertical="center"/>
    </xf>
    <xf numFmtId="0" fontId="46" fillId="0" borderId="24" xfId="0" applyFont="1" applyBorder="1" applyProtection="1"/>
    <xf numFmtId="0" fontId="48" fillId="0" borderId="24" xfId="0" applyFont="1" applyFill="1" applyBorder="1" applyProtection="1"/>
    <xf numFmtId="0" fontId="46" fillId="0" borderId="0" xfId="0" applyFont="1" applyFill="1" applyBorder="1" applyAlignment="1" applyProtection="1">
      <alignment horizontal="center" vertical="center"/>
    </xf>
    <xf numFmtId="0" fontId="46" fillId="0" borderId="25" xfId="0" applyFont="1" applyFill="1" applyBorder="1" applyAlignment="1" applyProtection="1">
      <alignment horizontal="center" vertical="center"/>
    </xf>
    <xf numFmtId="0" fontId="46" fillId="0" borderId="24" xfId="0" applyFont="1" applyFill="1" applyBorder="1" applyProtection="1"/>
    <xf numFmtId="0" fontId="46" fillId="0" borderId="26" xfId="0" applyFont="1" applyBorder="1" applyProtection="1"/>
    <xf numFmtId="0" fontId="46" fillId="0" borderId="26" xfId="0" applyFont="1" applyFill="1" applyBorder="1" applyProtection="1"/>
    <xf numFmtId="0" fontId="46" fillId="0" borderId="27" xfId="0" applyFont="1" applyFill="1" applyBorder="1" applyAlignment="1" applyProtection="1">
      <alignment horizontal="center" vertical="center"/>
    </xf>
    <xf numFmtId="1" fontId="46" fillId="0" borderId="28" xfId="0" applyNumberFormat="1" applyFont="1" applyFill="1" applyBorder="1" applyAlignment="1" applyProtection="1">
      <alignment horizontal="center" vertical="center"/>
    </xf>
    <xf numFmtId="0" fontId="44" fillId="0" borderId="41" xfId="0" applyFont="1" applyBorder="1" applyAlignment="1" applyProtection="1">
      <alignment horizontal="left" vertical="center"/>
      <protection hidden="1"/>
    </xf>
    <xf numFmtId="1" fontId="59" fillId="0" borderId="25" xfId="49" applyNumberFormat="1" applyFont="1" applyFill="1" applyBorder="1" applyAlignment="1" applyProtection="1">
      <alignment horizontal="center" vertical="center"/>
      <protection hidden="1"/>
    </xf>
    <xf numFmtId="0" fontId="59" fillId="0" borderId="24" xfId="0" applyFont="1" applyBorder="1" applyAlignment="1" applyProtection="1">
      <alignment horizontal="left" vertical="center"/>
      <protection hidden="1"/>
    </xf>
    <xf numFmtId="169" fontId="59" fillId="0" borderId="25" xfId="49" applyNumberFormat="1" applyFont="1" applyFill="1" applyBorder="1" applyAlignment="1" applyProtection="1">
      <alignment horizontal="center" vertical="center"/>
      <protection hidden="1"/>
    </xf>
    <xf numFmtId="166" fontId="59" fillId="0" borderId="25" xfId="49" applyNumberFormat="1" applyFont="1" applyFill="1" applyBorder="1" applyAlignment="1" applyProtection="1">
      <alignment horizontal="center" vertical="center"/>
      <protection hidden="1"/>
    </xf>
    <xf numFmtId="0" fontId="59" fillId="0" borderId="25" xfId="49" applyNumberFormat="1" applyFont="1" applyFill="1" applyBorder="1" applyAlignment="1" applyProtection="1">
      <alignment horizontal="center" vertical="center"/>
      <protection hidden="1"/>
    </xf>
    <xf numFmtId="0" fontId="46" fillId="0" borderId="24" xfId="0" applyFont="1" applyBorder="1" applyAlignment="1" applyProtection="1">
      <alignment horizontal="center" vertical="center"/>
      <protection hidden="1"/>
    </xf>
    <xf numFmtId="0" fontId="46" fillId="0" borderId="25" xfId="0" applyFont="1" applyBorder="1" applyAlignment="1" applyProtection="1">
      <alignment horizontal="center" vertical="center"/>
      <protection hidden="1"/>
    </xf>
    <xf numFmtId="0" fontId="58" fillId="39" borderId="24" xfId="0" applyFont="1" applyFill="1" applyBorder="1" applyAlignment="1" applyProtection="1">
      <alignment horizontal="center" vertical="center" wrapText="1"/>
      <protection hidden="1"/>
    </xf>
    <xf numFmtId="0" fontId="58" fillId="39" borderId="25" xfId="0" applyFont="1" applyFill="1" applyBorder="1" applyAlignment="1" applyProtection="1">
      <alignment horizontal="center" vertical="center" wrapText="1"/>
      <protection hidden="1"/>
    </xf>
    <xf numFmtId="0" fontId="59" fillId="0" borderId="26" xfId="0" applyFont="1" applyBorder="1" applyAlignment="1" applyProtection="1">
      <alignment horizontal="left" vertical="center"/>
      <protection hidden="1"/>
    </xf>
    <xf numFmtId="0" fontId="59" fillId="0" borderId="28" xfId="49" applyNumberFormat="1" applyFont="1" applyFill="1" applyBorder="1" applyAlignment="1" applyProtection="1">
      <alignment horizontal="center" vertical="center"/>
      <protection hidden="1"/>
    </xf>
    <xf numFmtId="0" fontId="46" fillId="0" borderId="0" xfId="0" applyFont="1" applyBorder="1" applyAlignment="1" applyProtection="1">
      <alignment horizontal="center" vertical="center"/>
      <protection hidden="1"/>
    </xf>
    <xf numFmtId="1" fontId="46" fillId="0" borderId="25" xfId="0" applyNumberFormat="1" applyFont="1" applyBorder="1" applyAlignment="1" applyProtection="1">
      <alignment horizontal="center" vertical="center"/>
      <protection hidden="1"/>
    </xf>
    <xf numFmtId="0" fontId="46" fillId="0" borderId="27" xfId="0" applyFont="1" applyBorder="1" applyAlignment="1" applyProtection="1">
      <alignment horizontal="center" vertical="center"/>
      <protection hidden="1"/>
    </xf>
    <xf numFmtId="1" fontId="46" fillId="0" borderId="28" xfId="0" applyNumberFormat="1" applyFont="1" applyBorder="1" applyAlignment="1" applyProtection="1">
      <alignment horizontal="center" vertical="center"/>
      <protection hidden="1"/>
    </xf>
    <xf numFmtId="0" fontId="48" fillId="46" borderId="24" xfId="0" applyFont="1" applyFill="1" applyBorder="1" applyAlignment="1" applyProtection="1">
      <alignment horizontal="center" vertical="center"/>
      <protection hidden="1"/>
    </xf>
    <xf numFmtId="0" fontId="48" fillId="46" borderId="0" xfId="0" applyFont="1" applyFill="1" applyBorder="1" applyAlignment="1" applyProtection="1">
      <alignment horizontal="center" vertical="center"/>
      <protection hidden="1"/>
    </xf>
    <xf numFmtId="0" fontId="48" fillId="46" borderId="25" xfId="0" applyFont="1" applyFill="1" applyBorder="1" applyAlignment="1" applyProtection="1">
      <alignment horizontal="center" vertical="center"/>
      <protection hidden="1"/>
    </xf>
    <xf numFmtId="0" fontId="60" fillId="0" borderId="24" xfId="0" applyFont="1" applyBorder="1" applyProtection="1">
      <protection hidden="1"/>
    </xf>
    <xf numFmtId="1" fontId="44" fillId="46" borderId="0" xfId="0" applyNumberFormat="1" applyFont="1" applyFill="1" applyBorder="1" applyAlignment="1" applyProtection="1">
      <alignment horizontal="center" vertical="center"/>
      <protection hidden="1"/>
    </xf>
    <xf numFmtId="1" fontId="44" fillId="46" borderId="25" xfId="0" applyNumberFormat="1" applyFont="1" applyFill="1" applyBorder="1" applyAlignment="1" applyProtection="1">
      <alignment horizontal="center" vertical="center"/>
      <protection hidden="1"/>
    </xf>
    <xf numFmtId="9" fontId="44" fillId="46" borderId="27" xfId="10" applyNumberFormat="1" applyFont="1" applyFill="1" applyBorder="1" applyAlignment="1" applyProtection="1">
      <alignment horizontal="center" vertical="center"/>
      <protection hidden="1"/>
    </xf>
    <xf numFmtId="9" fontId="44" fillId="46" borderId="28" xfId="10" applyFont="1" applyFill="1" applyBorder="1" applyAlignment="1" applyProtection="1">
      <alignment horizontal="center" vertical="center"/>
      <protection hidden="1"/>
    </xf>
    <xf numFmtId="0" fontId="58" fillId="39" borderId="21" xfId="0" applyFont="1" applyFill="1" applyBorder="1" applyAlignment="1" applyProtection="1">
      <alignment horizontal="center" vertical="center"/>
      <protection hidden="1"/>
    </xf>
    <xf numFmtId="0" fontId="46" fillId="0" borderId="23" xfId="0" applyFont="1" applyFill="1" applyBorder="1" applyAlignment="1" applyProtection="1">
      <alignment horizontal="center" vertical="center"/>
      <protection hidden="1"/>
    </xf>
    <xf numFmtId="0" fontId="58" fillId="39" borderId="24" xfId="0" applyFont="1" applyFill="1" applyBorder="1" applyAlignment="1" applyProtection="1">
      <alignment horizontal="center" vertical="center"/>
      <protection hidden="1"/>
    </xf>
    <xf numFmtId="1" fontId="46" fillId="0" borderId="25" xfId="0" applyNumberFormat="1" applyFont="1" applyFill="1" applyBorder="1" applyAlignment="1" applyProtection="1">
      <alignment horizontal="center" vertical="center"/>
      <protection hidden="1"/>
    </xf>
    <xf numFmtId="166" fontId="46" fillId="0" borderId="25" xfId="0" applyNumberFormat="1" applyFont="1" applyBorder="1" applyAlignment="1" applyProtection="1">
      <alignment horizontal="center" vertical="center"/>
      <protection hidden="1"/>
    </xf>
    <xf numFmtId="0" fontId="42" fillId="51" borderId="24" xfId="0" applyFont="1" applyFill="1" applyBorder="1" applyAlignment="1" applyProtection="1">
      <alignment horizontal="center" vertical="center"/>
      <protection hidden="1"/>
    </xf>
    <xf numFmtId="1" fontId="52" fillId="0" borderId="25" xfId="0" applyNumberFormat="1" applyFont="1" applyBorder="1" applyAlignment="1" applyProtection="1">
      <alignment horizontal="center" vertical="center"/>
      <protection hidden="1"/>
    </xf>
    <xf numFmtId="0" fontId="42" fillId="51" borderId="26" xfId="0" applyFont="1" applyFill="1" applyBorder="1" applyAlignment="1" applyProtection="1">
      <alignment horizontal="center" vertical="center"/>
      <protection hidden="1"/>
    </xf>
    <xf numFmtId="0" fontId="44" fillId="46" borderId="0" xfId="0" applyFont="1" applyFill="1" applyBorder="1" applyAlignment="1" applyProtection="1">
      <alignment horizontal="center" vertical="center"/>
      <protection locked="0" hidden="1"/>
    </xf>
    <xf numFmtId="0" fontId="46" fillId="46" borderId="25" xfId="0" applyFont="1" applyFill="1" applyBorder="1" applyAlignment="1" applyProtection="1">
      <alignment horizontal="center" vertical="center"/>
      <protection locked="0" hidden="1"/>
    </xf>
    <xf numFmtId="0" fontId="46" fillId="0" borderId="0" xfId="0" applyFont="1" applyBorder="1" applyProtection="1">
      <protection hidden="1"/>
    </xf>
    <xf numFmtId="0" fontId="68" fillId="0" borderId="0" xfId="0" applyFont="1" applyBorder="1" applyProtection="1">
      <protection hidden="1"/>
    </xf>
    <xf numFmtId="0" fontId="69" fillId="0" borderId="0" xfId="0" applyFont="1" applyBorder="1" applyAlignment="1" applyProtection="1">
      <alignment vertical="center"/>
      <protection hidden="1"/>
    </xf>
    <xf numFmtId="0" fontId="48" fillId="0" borderId="0" xfId="0" applyFont="1" applyBorder="1" applyAlignment="1" applyProtection="1">
      <alignment horizontal="left" vertical="top"/>
      <protection hidden="1"/>
    </xf>
    <xf numFmtId="0" fontId="48" fillId="0" borderId="0" xfId="0" applyFont="1" applyBorder="1" applyAlignment="1" applyProtection="1">
      <alignment horizontal="right" vertical="center"/>
      <protection hidden="1"/>
    </xf>
    <xf numFmtId="0" fontId="47" fillId="0" borderId="0" xfId="0" applyFont="1" applyBorder="1" applyAlignment="1" applyProtection="1">
      <alignment horizontal="right" vertical="top"/>
      <protection hidden="1"/>
    </xf>
    <xf numFmtId="0" fontId="49" fillId="34" borderId="0" xfId="2" applyFont="1" applyFill="1" applyBorder="1" applyAlignment="1" applyProtection="1">
      <alignment horizontal="center" vertical="center" wrapText="1"/>
      <protection hidden="1"/>
    </xf>
    <xf numFmtId="0" fontId="49" fillId="35" borderId="0" xfId="2" applyFont="1" applyFill="1" applyBorder="1" applyAlignment="1" applyProtection="1">
      <alignment horizontal="center" vertical="center" wrapText="1"/>
      <protection hidden="1"/>
    </xf>
    <xf numFmtId="0" fontId="49" fillId="36" borderId="0" xfId="2" applyFont="1" applyFill="1" applyBorder="1" applyAlignment="1" applyProtection="1">
      <alignment horizontal="center" vertical="center" wrapText="1"/>
      <protection hidden="1"/>
    </xf>
    <xf numFmtId="0" fontId="50" fillId="48" borderId="0" xfId="0" applyFont="1" applyFill="1" applyBorder="1" applyAlignment="1" applyProtection="1">
      <alignment horizontal="center" vertical="center" wrapText="1"/>
      <protection hidden="1"/>
    </xf>
    <xf numFmtId="0" fontId="49" fillId="38" borderId="0" xfId="2" applyFont="1" applyFill="1" applyBorder="1" applyAlignment="1" applyProtection="1">
      <alignment horizontal="center" vertical="center" wrapText="1"/>
      <protection hidden="1"/>
    </xf>
    <xf numFmtId="0" fontId="51" fillId="0" borderId="0" xfId="0" applyFont="1" applyBorder="1" applyAlignment="1" applyProtection="1">
      <alignment horizontal="center"/>
      <protection hidden="1"/>
    </xf>
    <xf numFmtId="0" fontId="52" fillId="0" borderId="0" xfId="0" applyFont="1" applyBorder="1" applyAlignment="1" applyProtection="1">
      <alignment horizontal="center"/>
      <protection hidden="1"/>
    </xf>
    <xf numFmtId="0" fontId="53" fillId="0" borderId="0" xfId="0" applyFont="1" applyBorder="1" applyAlignment="1" applyProtection="1">
      <alignment horizontal="right"/>
      <protection hidden="1"/>
    </xf>
    <xf numFmtId="0" fontId="54" fillId="0" borderId="0" xfId="0" applyFont="1" applyBorder="1" applyAlignment="1" applyProtection="1">
      <alignment horizontal="center" vertical="center"/>
      <protection hidden="1"/>
    </xf>
    <xf numFmtId="9" fontId="54" fillId="0" borderId="0" xfId="0" applyNumberFormat="1" applyFont="1" applyBorder="1" applyAlignment="1" applyProtection="1">
      <alignment horizontal="center" vertical="center"/>
      <protection hidden="1"/>
    </xf>
    <xf numFmtId="9" fontId="54" fillId="0" borderId="0" xfId="10" applyFont="1" applyBorder="1" applyAlignment="1" applyProtection="1">
      <alignment horizontal="center" vertical="center"/>
      <protection hidden="1"/>
    </xf>
    <xf numFmtId="0" fontId="51" fillId="0" borderId="0" xfId="0" applyFont="1" applyBorder="1" applyAlignment="1" applyProtection="1">
      <alignment horizontal="right"/>
      <protection hidden="1"/>
    </xf>
    <xf numFmtId="9" fontId="52" fillId="0" borderId="0" xfId="0" applyNumberFormat="1" applyFont="1" applyBorder="1" applyAlignment="1" applyProtection="1">
      <alignment horizontal="center" vertical="center"/>
      <protection hidden="1"/>
    </xf>
    <xf numFmtId="9" fontId="46" fillId="0" borderId="0" xfId="10" applyFont="1" applyBorder="1" applyAlignment="1" applyProtection="1">
      <alignment horizontal="center" vertical="center"/>
      <protection hidden="1"/>
    </xf>
    <xf numFmtId="0" fontId="51" fillId="40" borderId="0" xfId="0" applyFont="1" applyFill="1" applyBorder="1" applyAlignment="1" applyProtection="1">
      <alignment horizontal="right"/>
      <protection hidden="1"/>
    </xf>
    <xf numFmtId="9" fontId="51" fillId="40" borderId="0" xfId="0" applyNumberFormat="1" applyFont="1" applyFill="1" applyBorder="1" applyAlignment="1" applyProtection="1">
      <alignment horizontal="center" vertical="center"/>
      <protection hidden="1"/>
    </xf>
    <xf numFmtId="9" fontId="55" fillId="49" borderId="0" xfId="0" applyNumberFormat="1" applyFont="1" applyFill="1" applyBorder="1" applyAlignment="1" applyProtection="1">
      <alignment horizontal="center" vertical="center"/>
      <protection hidden="1"/>
    </xf>
    <xf numFmtId="9" fontId="49" fillId="0" borderId="0" xfId="0" applyNumberFormat="1" applyFont="1" applyBorder="1" applyAlignment="1" applyProtection="1">
      <alignment horizontal="center"/>
      <protection hidden="1"/>
    </xf>
    <xf numFmtId="0" fontId="51" fillId="0" borderId="0" xfId="0" applyFont="1" applyBorder="1" applyAlignment="1" applyProtection="1">
      <alignment horizontal="center"/>
      <protection hidden="1"/>
    </xf>
    <xf numFmtId="0" fontId="46" fillId="0" borderId="0" xfId="0" applyFont="1" applyBorder="1" applyAlignment="1" applyProtection="1">
      <alignment horizontal="center"/>
      <protection hidden="1"/>
    </xf>
    <xf numFmtId="0" fontId="58" fillId="39" borderId="34" xfId="0" applyFont="1" applyFill="1" applyBorder="1" applyAlignment="1" applyProtection="1">
      <alignment horizontal="center" vertical="center"/>
      <protection hidden="1"/>
    </xf>
    <xf numFmtId="1" fontId="44" fillId="41" borderId="0" xfId="0" applyNumberFormat="1" applyFont="1" applyFill="1" applyBorder="1" applyAlignment="1" applyProtection="1">
      <alignment horizontal="center" vertical="center"/>
      <protection hidden="1"/>
    </xf>
    <xf numFmtId="1" fontId="44" fillId="42" borderId="0" xfId="0" applyNumberFormat="1" applyFont="1" applyFill="1" applyBorder="1" applyAlignment="1" applyProtection="1">
      <alignment horizontal="center" vertical="center"/>
      <protection hidden="1"/>
    </xf>
    <xf numFmtId="1" fontId="44" fillId="43" borderId="0" xfId="0" applyNumberFormat="1" applyFont="1" applyFill="1" applyBorder="1" applyAlignment="1" applyProtection="1">
      <alignment horizontal="center" vertical="center"/>
      <protection hidden="1"/>
    </xf>
    <xf numFmtId="1" fontId="44" fillId="44" borderId="0" xfId="0" applyNumberFormat="1" applyFont="1" applyFill="1" applyBorder="1" applyAlignment="1" applyProtection="1">
      <alignment horizontal="center" vertical="center"/>
      <protection hidden="1"/>
    </xf>
    <xf numFmtId="1" fontId="44" fillId="45" borderId="0" xfId="0" applyNumberFormat="1" applyFont="1" applyFill="1" applyBorder="1" applyAlignment="1" applyProtection="1">
      <alignment horizontal="center" vertical="center"/>
      <protection hidden="1"/>
    </xf>
    <xf numFmtId="1" fontId="44" fillId="2" borderId="38" xfId="0" applyNumberFormat="1" applyFont="1" applyFill="1" applyBorder="1" applyAlignment="1" applyProtection="1">
      <alignment horizontal="center" vertical="center"/>
      <protection hidden="1"/>
    </xf>
    <xf numFmtId="0" fontId="46" fillId="0" borderId="0" xfId="0" applyFont="1" applyFill="1" applyBorder="1" applyProtection="1">
      <protection hidden="1"/>
    </xf>
    <xf numFmtId="0" fontId="46" fillId="0" borderId="0" xfId="0" applyFont="1" applyBorder="1" applyProtection="1">
      <protection locked="0" hidden="1"/>
    </xf>
    <xf numFmtId="0" fontId="29" fillId="0" borderId="0" xfId="50" applyFont="1" applyProtection="1">
      <protection locked="0" hidden="1"/>
    </xf>
    <xf numFmtId="0" fontId="1" fillId="0" borderId="0" xfId="50" applyAlignment="1" applyProtection="1">
      <alignment horizontal="center" vertical="center"/>
      <protection locked="0" hidden="1"/>
    </xf>
    <xf numFmtId="0" fontId="23" fillId="47" borderId="0" xfId="50" applyFont="1" applyFill="1" applyAlignment="1" applyProtection="1">
      <alignment horizontal="center" vertical="center"/>
      <protection locked="0" hidden="1"/>
    </xf>
    <xf numFmtId="0" fontId="23" fillId="54" borderId="0" xfId="50" applyFont="1" applyFill="1" applyAlignment="1" applyProtection="1">
      <alignment horizontal="center" vertical="center"/>
      <protection locked="0" hidden="1"/>
    </xf>
    <xf numFmtId="0" fontId="29" fillId="47" borderId="0" xfId="50" applyFont="1" applyFill="1" applyAlignment="1" applyProtection="1">
      <alignment horizontal="center" vertical="center"/>
      <protection locked="0" hidden="1"/>
    </xf>
    <xf numFmtId="0" fontId="29" fillId="57" borderId="29" xfId="50" applyFont="1" applyFill="1" applyBorder="1" applyProtection="1">
      <protection locked="0" hidden="1"/>
    </xf>
    <xf numFmtId="0" fontId="29" fillId="57" borderId="30" xfId="50" applyFont="1" applyFill="1" applyBorder="1" applyAlignment="1" applyProtection="1">
      <alignment horizontal="center" vertical="center"/>
      <protection locked="0" hidden="1"/>
    </xf>
    <xf numFmtId="0" fontId="29" fillId="57" borderId="31" xfId="50" applyFont="1" applyFill="1" applyBorder="1" applyAlignment="1" applyProtection="1">
      <alignment horizontal="center" vertical="center"/>
      <protection locked="0" hidden="1"/>
    </xf>
    <xf numFmtId="0" fontId="61" fillId="0" borderId="11" xfId="50" applyFont="1" applyBorder="1" applyProtection="1">
      <protection locked="0" hidden="1"/>
    </xf>
    <xf numFmtId="0" fontId="1" fillId="46" borderId="0" xfId="50" applyFill="1" applyAlignment="1" applyProtection="1">
      <alignment horizontal="center" vertical="center"/>
      <protection locked="0" hidden="1"/>
    </xf>
    <xf numFmtId="0" fontId="1" fillId="46" borderId="12" xfId="50" applyFill="1" applyBorder="1" applyAlignment="1" applyProtection="1">
      <alignment horizontal="center" vertical="center"/>
      <protection locked="0" hidden="1"/>
    </xf>
    <xf numFmtId="1" fontId="1" fillId="0" borderId="0" xfId="50" applyNumberFormat="1" applyAlignment="1" applyProtection="1">
      <alignment horizontal="center" vertical="center"/>
      <protection locked="0" hidden="1"/>
    </xf>
    <xf numFmtId="1" fontId="1" fillId="0" borderId="12" xfId="50" applyNumberFormat="1" applyBorder="1" applyAlignment="1" applyProtection="1">
      <alignment horizontal="center" vertical="center"/>
      <protection locked="0" hidden="1"/>
    </xf>
    <xf numFmtId="0" fontId="1" fillId="52" borderId="0" xfId="50" applyFill="1" applyAlignment="1" applyProtection="1">
      <alignment horizontal="center" vertical="center"/>
      <protection locked="0" hidden="1"/>
    </xf>
    <xf numFmtId="0" fontId="61" fillId="46" borderId="11" xfId="50" applyFont="1" applyFill="1" applyBorder="1" applyProtection="1">
      <protection locked="0" hidden="1"/>
    </xf>
    <xf numFmtId="0" fontId="1" fillId="46" borderId="0" xfId="50" applyFill="1" applyAlignment="1" applyProtection="1">
      <alignment horizontal="left" vertical="center"/>
      <protection locked="0" hidden="1"/>
    </xf>
    <xf numFmtId="0" fontId="41" fillId="53" borderId="0" xfId="50" applyFont="1" applyFill="1" applyAlignment="1" applyProtection="1">
      <alignment horizontal="center" vertical="center"/>
      <protection locked="0" hidden="1"/>
    </xf>
    <xf numFmtId="0" fontId="30" fillId="53" borderId="0" xfId="50" applyFont="1" applyFill="1" applyAlignment="1" applyProtection="1">
      <alignment horizontal="center" vertical="center"/>
      <protection locked="0" hidden="1"/>
    </xf>
    <xf numFmtId="0" fontId="30" fillId="60" borderId="13" xfId="50" applyFont="1" applyFill="1" applyBorder="1" applyProtection="1">
      <protection locked="0" hidden="1"/>
    </xf>
    <xf numFmtId="0" fontId="30" fillId="60" borderId="30" xfId="50" applyFont="1" applyFill="1" applyBorder="1" applyAlignment="1" applyProtection="1">
      <alignment horizontal="center" vertical="center"/>
      <protection locked="0" hidden="1"/>
    </xf>
    <xf numFmtId="0" fontId="66" fillId="48" borderId="11" xfId="50" applyFont="1" applyFill="1" applyBorder="1" applyProtection="1">
      <protection locked="0" hidden="1"/>
    </xf>
    <xf numFmtId="0" fontId="66" fillId="0" borderId="11" xfId="50" applyFont="1" applyBorder="1" applyProtection="1">
      <protection locked="0" hidden="1"/>
    </xf>
    <xf numFmtId="1" fontId="31" fillId="0" borderId="0" xfId="50" applyNumberFormat="1" applyFont="1" applyAlignment="1" applyProtection="1">
      <alignment horizontal="center" vertical="center"/>
      <protection locked="0" hidden="1"/>
    </xf>
    <xf numFmtId="0" fontId="30" fillId="0" borderId="0" xfId="50" applyFont="1" applyProtection="1">
      <protection locked="0" hidden="1"/>
    </xf>
    <xf numFmtId="0" fontId="31" fillId="0" borderId="0" xfId="50" applyFont="1" applyAlignment="1" applyProtection="1">
      <alignment horizontal="center" vertical="center"/>
      <protection locked="0" hidden="1"/>
    </xf>
    <xf numFmtId="0" fontId="30" fillId="60" borderId="29" xfId="50" applyFont="1" applyFill="1" applyBorder="1" applyProtection="1">
      <protection locked="0" hidden="1"/>
    </xf>
    <xf numFmtId="0" fontId="30" fillId="60" borderId="31" xfId="50" applyFont="1" applyFill="1" applyBorder="1" applyAlignment="1" applyProtection="1">
      <alignment horizontal="center" vertical="center"/>
      <protection locked="0" hidden="1"/>
    </xf>
    <xf numFmtId="0" fontId="31" fillId="52" borderId="0" xfId="50" applyFont="1" applyFill="1" applyAlignment="1" applyProtection="1">
      <alignment horizontal="center" vertical="center"/>
      <protection locked="0" hidden="1"/>
    </xf>
    <xf numFmtId="0" fontId="41" fillId="61" borderId="0" xfId="50" applyFont="1" applyFill="1" applyAlignment="1" applyProtection="1">
      <alignment horizontal="center" vertical="center"/>
      <protection locked="0" hidden="1"/>
    </xf>
    <xf numFmtId="0" fontId="1" fillId="0" borderId="0" xfId="50" applyProtection="1">
      <protection hidden="1"/>
    </xf>
    <xf numFmtId="0" fontId="29" fillId="0" borderId="0" xfId="50" applyFont="1" applyProtection="1">
      <protection hidden="1"/>
    </xf>
    <xf numFmtId="0" fontId="1" fillId="0" borderId="0" xfId="50" applyAlignment="1" applyProtection="1">
      <alignment horizontal="center" vertical="center"/>
      <protection hidden="1"/>
    </xf>
    <xf numFmtId="1" fontId="61" fillId="0" borderId="0" xfId="50" applyNumberFormat="1" applyFont="1" applyAlignment="1" applyProtection="1">
      <alignment horizontal="center" vertical="center"/>
      <protection hidden="1"/>
    </xf>
    <xf numFmtId="0" fontId="56" fillId="0" borderId="0" xfId="50" applyFont="1" applyAlignment="1" applyProtection="1">
      <alignment horizontal="left" vertical="center"/>
      <protection hidden="1"/>
    </xf>
    <xf numFmtId="0" fontId="62" fillId="0" borderId="0" xfId="50" applyFont="1" applyAlignment="1" applyProtection="1">
      <alignment horizontal="center" vertical="center"/>
      <protection hidden="1"/>
    </xf>
    <xf numFmtId="0" fontId="62" fillId="0" borderId="0" xfId="50" applyFont="1" applyAlignment="1" applyProtection="1">
      <alignment horizontal="left" vertical="center"/>
      <protection hidden="1"/>
    </xf>
    <xf numFmtId="0" fontId="29" fillId="57" borderId="29" xfId="50" applyFont="1" applyFill="1" applyBorder="1" applyProtection="1">
      <protection hidden="1"/>
    </xf>
    <xf numFmtId="0" fontId="29" fillId="57" borderId="30" xfId="50" applyFont="1" applyFill="1" applyBorder="1" applyAlignment="1" applyProtection="1">
      <alignment horizontal="center" vertical="center"/>
      <protection hidden="1"/>
    </xf>
    <xf numFmtId="0" fontId="61" fillId="0" borderId="11" xfId="50" applyFont="1" applyBorder="1" applyProtection="1">
      <protection hidden="1"/>
    </xf>
    <xf numFmtId="0" fontId="1" fillId="46" borderId="0" xfId="50" applyFill="1" applyAlignment="1" applyProtection="1">
      <alignment horizontal="center" vertical="center"/>
      <protection hidden="1"/>
    </xf>
    <xf numFmtId="0" fontId="1" fillId="46" borderId="12" xfId="50" applyFill="1" applyBorder="1" applyAlignment="1" applyProtection="1">
      <alignment horizontal="center" vertical="center"/>
      <protection hidden="1"/>
    </xf>
    <xf numFmtId="0" fontId="32" fillId="0" borderId="0" xfId="48" applyAlignment="1" applyProtection="1">
      <alignment horizontal="center" vertical="center"/>
      <protection hidden="1"/>
    </xf>
    <xf numFmtId="1" fontId="1" fillId="0" borderId="0" xfId="50" applyNumberFormat="1" applyAlignment="1" applyProtection="1">
      <alignment horizontal="center" vertical="center"/>
      <protection hidden="1"/>
    </xf>
    <xf numFmtId="1" fontId="1" fillId="0" borderId="12" xfId="50" applyNumberFormat="1" applyBorder="1" applyAlignment="1" applyProtection="1">
      <alignment horizontal="center" vertical="center"/>
      <protection hidden="1"/>
    </xf>
    <xf numFmtId="1" fontId="61" fillId="58" borderId="0" xfId="51" applyNumberFormat="1" applyFont="1" applyFill="1" applyAlignment="1" applyProtection="1">
      <alignment horizontal="center" vertical="center"/>
      <protection hidden="1"/>
    </xf>
    <xf numFmtId="0" fontId="61" fillId="0" borderId="13" xfId="50" applyFont="1" applyBorder="1" applyProtection="1">
      <protection hidden="1"/>
    </xf>
    <xf numFmtId="1" fontId="1" fillId="0" borderId="16" xfId="50" applyNumberFormat="1" applyBorder="1" applyAlignment="1" applyProtection="1">
      <alignment horizontal="center" vertical="center"/>
      <protection hidden="1"/>
    </xf>
    <xf numFmtId="0" fontId="61" fillId="0" borderId="0" xfId="50" applyFont="1" applyProtection="1">
      <protection hidden="1"/>
    </xf>
    <xf numFmtId="1" fontId="1" fillId="0" borderId="14" xfId="50" applyNumberFormat="1" applyBorder="1" applyAlignment="1" applyProtection="1">
      <alignment horizontal="center" vertical="center"/>
      <protection hidden="1"/>
    </xf>
    <xf numFmtId="0" fontId="61" fillId="46" borderId="11" xfId="50" applyFont="1" applyFill="1" applyBorder="1" applyProtection="1">
      <protection hidden="1"/>
    </xf>
    <xf numFmtId="0" fontId="1" fillId="46" borderId="0" xfId="50" applyFill="1" applyAlignment="1" applyProtection="1">
      <alignment horizontal="left" vertical="center"/>
      <protection hidden="1"/>
    </xf>
    <xf numFmtId="1" fontId="66" fillId="0" borderId="0" xfId="50" applyNumberFormat="1" applyFont="1" applyAlignment="1" applyProtection="1">
      <alignment horizontal="center" vertical="center"/>
      <protection hidden="1"/>
    </xf>
    <xf numFmtId="0" fontId="30" fillId="60" borderId="13" xfId="50" applyFont="1" applyFill="1" applyBorder="1" applyProtection="1">
      <protection hidden="1"/>
    </xf>
    <xf numFmtId="0" fontId="30" fillId="60" borderId="30" xfId="50" applyFont="1" applyFill="1" applyBorder="1" applyAlignment="1" applyProtection="1">
      <alignment horizontal="center" vertical="center"/>
      <protection hidden="1"/>
    </xf>
    <xf numFmtId="0" fontId="66" fillId="48" borderId="11" xfId="50" applyFont="1" applyFill="1" applyBorder="1" applyProtection="1">
      <protection hidden="1"/>
    </xf>
    <xf numFmtId="0" fontId="66" fillId="0" borderId="11" xfId="50" applyFont="1" applyBorder="1" applyProtection="1">
      <protection hidden="1"/>
    </xf>
    <xf numFmtId="0" fontId="66" fillId="0" borderId="13" xfId="50" applyFont="1" applyBorder="1" applyProtection="1">
      <protection hidden="1"/>
    </xf>
    <xf numFmtId="0" fontId="66" fillId="0" borderId="0" xfId="50" applyFont="1" applyProtection="1">
      <protection hidden="1"/>
    </xf>
    <xf numFmtId="1" fontId="31" fillId="0" borderId="0" xfId="50" applyNumberFormat="1" applyFont="1" applyAlignment="1" applyProtection="1">
      <alignment horizontal="center" vertical="center"/>
      <protection hidden="1"/>
    </xf>
    <xf numFmtId="0" fontId="30" fillId="0" borderId="0" xfId="50" applyFont="1" applyProtection="1">
      <protection hidden="1"/>
    </xf>
    <xf numFmtId="0" fontId="31" fillId="0" borderId="0" xfId="50" applyFont="1" applyAlignment="1" applyProtection="1">
      <alignment horizontal="center" vertical="center"/>
      <protection hidden="1"/>
    </xf>
    <xf numFmtId="0" fontId="30" fillId="60" borderId="29" xfId="50" applyFont="1" applyFill="1" applyBorder="1" applyProtection="1">
      <protection hidden="1"/>
    </xf>
    <xf numFmtId="0" fontId="30" fillId="60" borderId="31" xfId="50" applyFont="1" applyFill="1" applyBorder="1" applyAlignment="1" applyProtection="1">
      <alignment horizontal="center" vertical="center"/>
      <protection hidden="1"/>
    </xf>
    <xf numFmtId="0" fontId="31" fillId="52" borderId="0" xfId="50" applyFont="1" applyFill="1" applyAlignment="1" applyProtection="1">
      <alignment horizontal="center" vertical="center"/>
      <protection hidden="1"/>
    </xf>
    <xf numFmtId="0" fontId="66" fillId="0" borderId="34" xfId="50" applyFont="1" applyBorder="1" applyProtection="1">
      <protection hidden="1"/>
    </xf>
    <xf numFmtId="1" fontId="1" fillId="0" borderId="35" xfId="50" applyNumberFormat="1" applyBorder="1" applyAlignment="1" applyProtection="1">
      <alignment horizontal="center" vertical="center"/>
      <protection hidden="1"/>
    </xf>
    <xf numFmtId="1" fontId="1" fillId="0" borderId="8" xfId="50" applyNumberFormat="1" applyBorder="1" applyAlignment="1" applyProtection="1">
      <alignment horizontal="center" vertical="center"/>
      <protection hidden="1"/>
    </xf>
    <xf numFmtId="0" fontId="66" fillId="0" borderId="38" xfId="50" applyFont="1" applyBorder="1" applyProtection="1">
      <protection hidden="1"/>
    </xf>
    <xf numFmtId="1" fontId="1" fillId="0" borderId="39" xfId="50" applyNumberFormat="1" applyBorder="1" applyAlignment="1" applyProtection="1">
      <alignment horizontal="center" vertical="center"/>
      <protection hidden="1"/>
    </xf>
    <xf numFmtId="0" fontId="1" fillId="52" borderId="0" xfId="50" applyFill="1" applyAlignment="1" applyProtection="1">
      <alignment horizontal="center" vertical="center"/>
      <protection locked="0"/>
    </xf>
    <xf numFmtId="0" fontId="1" fillId="46" borderId="0" xfId="50" applyFill="1" applyBorder="1" applyAlignment="1" applyProtection="1">
      <alignment horizontal="center" vertical="center"/>
      <protection locked="0" hidden="1"/>
    </xf>
    <xf numFmtId="1" fontId="1" fillId="0" borderId="0" xfId="50" applyNumberFormat="1" applyBorder="1" applyAlignment="1" applyProtection="1">
      <alignment horizontal="center" vertical="center"/>
      <protection hidden="1"/>
    </xf>
    <xf numFmtId="0" fontId="30" fillId="60" borderId="15" xfId="50" applyFont="1" applyFill="1" applyBorder="1" applyAlignment="1" applyProtection="1">
      <alignment horizontal="center" vertical="center"/>
      <protection locked="0" hidden="1"/>
    </xf>
    <xf numFmtId="0" fontId="1" fillId="46" borderId="0" xfId="50" applyFill="1" applyBorder="1" applyAlignment="1" applyProtection="1">
      <alignment horizontal="left" vertical="center"/>
      <protection locked="0" hidden="1"/>
    </xf>
    <xf numFmtId="1" fontId="31" fillId="0" borderId="14" xfId="50" applyNumberFormat="1" applyFont="1" applyBorder="1" applyAlignment="1" applyProtection="1">
      <alignment horizontal="center" vertical="center"/>
      <protection hidden="1"/>
    </xf>
    <xf numFmtId="0" fontId="30" fillId="60" borderId="42" xfId="50" applyFont="1" applyFill="1" applyBorder="1" applyAlignment="1" applyProtection="1">
      <alignment horizontal="center" vertical="center"/>
      <protection locked="0" hidden="1"/>
    </xf>
    <xf numFmtId="0" fontId="30" fillId="60" borderId="10" xfId="50" applyFont="1" applyFill="1" applyBorder="1" applyAlignment="1" applyProtection="1">
      <alignment horizontal="center" vertical="center"/>
      <protection locked="0" hidden="1"/>
    </xf>
    <xf numFmtId="0" fontId="30" fillId="60" borderId="9" xfId="50" applyFont="1" applyFill="1" applyBorder="1" applyProtection="1">
      <protection locked="0" hidden="1"/>
    </xf>
    <xf numFmtId="0" fontId="66" fillId="48" borderId="9" xfId="50" applyFont="1" applyFill="1" applyBorder="1" applyProtection="1">
      <protection locked="0" hidden="1"/>
    </xf>
    <xf numFmtId="0" fontId="1" fillId="46" borderId="15" xfId="50" applyFill="1" applyBorder="1" applyAlignment="1" applyProtection="1">
      <alignment horizontal="center" vertical="center"/>
      <protection locked="0" hidden="1"/>
    </xf>
    <xf numFmtId="0" fontId="1" fillId="46" borderId="15" xfId="50" applyFill="1" applyBorder="1" applyAlignment="1" applyProtection="1">
      <alignment horizontal="left" vertical="center"/>
      <protection locked="0" hidden="1"/>
    </xf>
    <xf numFmtId="0" fontId="1" fillId="46" borderId="10" xfId="50" applyFill="1" applyBorder="1" applyAlignment="1" applyProtection="1">
      <alignment horizontal="center" vertical="center"/>
      <protection locked="0" hidden="1"/>
    </xf>
    <xf numFmtId="1" fontId="1" fillId="0" borderId="0" xfId="50" applyNumberFormat="1" applyAlignment="1" applyProtection="1">
      <alignment horizontal="center" vertical="center"/>
      <protection locked="0"/>
    </xf>
    <xf numFmtId="1" fontId="1" fillId="0" borderId="12" xfId="50" applyNumberFormat="1" applyBorder="1" applyAlignment="1" applyProtection="1">
      <alignment horizontal="center" vertical="center"/>
      <protection locked="0"/>
    </xf>
    <xf numFmtId="1" fontId="1" fillId="0" borderId="0" xfId="50" applyNumberFormat="1" applyBorder="1" applyAlignment="1" applyProtection="1">
      <alignment horizontal="center" vertical="center"/>
      <protection locked="0" hidden="1"/>
    </xf>
    <xf numFmtId="0" fontId="58" fillId="47" borderId="35" xfId="0" applyFont="1" applyFill="1" applyBorder="1" applyAlignment="1" applyProtection="1">
      <alignment vertical="center"/>
      <protection hidden="1"/>
    </xf>
    <xf numFmtId="0" fontId="46" fillId="0" borderId="8" xfId="0" applyFont="1" applyBorder="1" applyAlignment="1" applyProtection="1">
      <alignment horizontal="center" vertical="center"/>
      <protection hidden="1"/>
    </xf>
    <xf numFmtId="0" fontId="46" fillId="0" borderId="39" xfId="0" applyFont="1" applyBorder="1" applyProtection="1">
      <protection hidden="1"/>
    </xf>
    <xf numFmtId="0" fontId="25" fillId="52" borderId="15" xfId="0" applyFont="1" applyFill="1" applyBorder="1" applyAlignment="1" applyProtection="1">
      <alignment horizontal="center" vertical="center"/>
      <protection locked="0"/>
    </xf>
    <xf numFmtId="0" fontId="25" fillId="52" borderId="0" xfId="0" applyFont="1" applyFill="1" applyBorder="1" applyAlignment="1" applyProtection="1">
      <alignment horizontal="center" vertical="center"/>
      <protection locked="0"/>
    </xf>
    <xf numFmtId="0" fontId="25" fillId="52" borderId="0" xfId="0" applyFont="1" applyFill="1" applyBorder="1" applyProtection="1">
      <protection locked="0"/>
    </xf>
    <xf numFmtId="0" fontId="25" fillId="52" borderId="16" xfId="0" applyFont="1" applyFill="1" applyBorder="1" applyAlignment="1" applyProtection="1">
      <alignment horizontal="center" vertical="center"/>
      <protection locked="0"/>
    </xf>
    <xf numFmtId="0" fontId="25" fillId="52" borderId="16" xfId="0" applyFont="1" applyFill="1" applyBorder="1" applyProtection="1">
      <protection locked="0"/>
    </xf>
    <xf numFmtId="171" fontId="37" fillId="52" borderId="10" xfId="0" applyNumberFormat="1" applyFont="1" applyFill="1" applyBorder="1" applyAlignment="1" applyProtection="1">
      <alignment horizontal="left" vertical="center"/>
      <protection locked="0"/>
    </xf>
    <xf numFmtId="0" fontId="10" fillId="52" borderId="12" xfId="0" applyFont="1" applyFill="1" applyBorder="1" applyAlignment="1" applyProtection="1">
      <alignment horizontal="left" vertical="center"/>
      <protection locked="0"/>
    </xf>
    <xf numFmtId="0" fontId="8" fillId="52" borderId="12" xfId="0" applyFont="1" applyFill="1" applyBorder="1" applyAlignment="1" applyProtection="1">
      <alignment horizontal="left" vertical="center"/>
      <protection locked="0"/>
    </xf>
    <xf numFmtId="3" fontId="8" fillId="52" borderId="12" xfId="0" applyNumberFormat="1" applyFont="1" applyFill="1" applyBorder="1" applyAlignment="1" applyProtection="1">
      <alignment horizontal="left" vertical="center"/>
      <protection locked="0"/>
    </xf>
    <xf numFmtId="167" fontId="8" fillId="52" borderId="12" xfId="0" applyNumberFormat="1" applyFont="1" applyFill="1" applyBorder="1" applyAlignment="1" applyProtection="1">
      <alignment horizontal="left" vertical="center"/>
      <protection locked="0"/>
    </xf>
    <xf numFmtId="168" fontId="8" fillId="52" borderId="12" xfId="0" applyNumberFormat="1" applyFont="1" applyFill="1" applyBorder="1" applyAlignment="1" applyProtection="1">
      <alignment horizontal="left" vertical="center"/>
      <protection locked="0"/>
    </xf>
    <xf numFmtId="9" fontId="8" fillId="52" borderId="12" xfId="10" applyFont="1" applyFill="1" applyBorder="1" applyAlignment="1" applyProtection="1">
      <alignment horizontal="left" vertical="center"/>
      <protection locked="0"/>
    </xf>
    <xf numFmtId="1" fontId="8" fillId="52" borderId="12" xfId="0" applyNumberFormat="1" applyFont="1" applyFill="1" applyBorder="1" applyAlignment="1" applyProtection="1">
      <alignment horizontal="left" vertical="center"/>
      <protection locked="0"/>
    </xf>
    <xf numFmtId="166" fontId="8" fillId="52" borderId="14" xfId="0" applyNumberFormat="1" applyFont="1" applyFill="1" applyBorder="1" applyAlignment="1" applyProtection="1">
      <alignment horizontal="left" vertical="center"/>
      <protection locked="0"/>
    </xf>
    <xf numFmtId="0" fontId="0" fillId="52" borderId="0" xfId="0" applyFill="1" applyAlignment="1" applyProtection="1">
      <alignment horizontal="center" vertical="center"/>
      <protection locked="0"/>
    </xf>
    <xf numFmtId="1" fontId="31" fillId="52" borderId="0" xfId="0" applyNumberFormat="1" applyFont="1" applyFill="1" applyAlignment="1" applyProtection="1">
      <alignment horizontal="center" vertical="center"/>
      <protection locked="0"/>
    </xf>
    <xf numFmtId="0" fontId="35" fillId="52" borderId="19" xfId="0" applyFont="1" applyFill="1" applyBorder="1" applyAlignment="1" applyProtection="1">
      <alignment vertical="center"/>
      <protection locked="0"/>
    </xf>
    <xf numFmtId="0" fontId="27" fillId="52" borderId="17" xfId="0" applyFont="1" applyFill="1" applyBorder="1" applyAlignment="1" applyProtection="1">
      <alignment vertical="center"/>
      <protection locked="0"/>
    </xf>
    <xf numFmtId="0" fontId="27" fillId="52" borderId="17" xfId="0" applyFont="1" applyFill="1" applyBorder="1" applyAlignment="1" applyProtection="1">
      <alignment horizontal="center" vertical="center"/>
      <protection locked="0"/>
    </xf>
    <xf numFmtId="1" fontId="27" fillId="52" borderId="17" xfId="0" applyNumberFormat="1" applyFont="1" applyFill="1" applyBorder="1" applyAlignment="1" applyProtection="1">
      <alignment horizontal="center" vertical="center"/>
      <protection locked="0"/>
    </xf>
    <xf numFmtId="9" fontId="27" fillId="52" borderId="17" xfId="0" applyNumberFormat="1" applyFont="1" applyFill="1" applyBorder="1" applyAlignment="1" applyProtection="1">
      <alignment vertical="center"/>
      <protection locked="0"/>
    </xf>
    <xf numFmtId="9" fontId="0" fillId="52" borderId="17" xfId="10" applyFont="1" applyFill="1" applyBorder="1" applyProtection="1">
      <protection locked="0"/>
    </xf>
    <xf numFmtId="0" fontId="48" fillId="0" borderId="36" xfId="0" applyFont="1" applyFill="1" applyBorder="1" applyAlignment="1" applyProtection="1">
      <alignment horizontal="left" vertical="center"/>
      <protection hidden="1"/>
    </xf>
    <xf numFmtId="171" fontId="59" fillId="0" borderId="8" xfId="0" applyNumberFormat="1" applyFont="1" applyFill="1" applyBorder="1" applyAlignment="1" applyProtection="1">
      <alignment horizontal="left" vertical="center"/>
      <protection hidden="1"/>
    </xf>
    <xf numFmtId="0" fontId="59" fillId="0" borderId="8" xfId="0" applyFont="1" applyFill="1" applyBorder="1" applyAlignment="1" applyProtection="1">
      <alignment horizontal="left" vertical="center"/>
      <protection hidden="1"/>
    </xf>
    <xf numFmtId="167" fontId="59" fillId="0" borderId="8" xfId="0" applyNumberFormat="1" applyFont="1" applyFill="1" applyBorder="1" applyAlignment="1" applyProtection="1">
      <alignment horizontal="left" vertical="center"/>
      <protection hidden="1"/>
    </xf>
    <xf numFmtId="168" fontId="59" fillId="0" borderId="8" xfId="0" applyNumberFormat="1" applyFont="1" applyFill="1" applyBorder="1" applyAlignment="1" applyProtection="1">
      <alignment horizontal="left" vertical="center"/>
      <protection hidden="1"/>
    </xf>
    <xf numFmtId="172" fontId="59" fillId="0" borderId="8" xfId="10" applyNumberFormat="1" applyFont="1" applyFill="1" applyBorder="1" applyAlignment="1" applyProtection="1">
      <alignment horizontal="left" vertical="center"/>
      <protection hidden="1"/>
    </xf>
    <xf numFmtId="0" fontId="48" fillId="0" borderId="37" xfId="0" applyFont="1" applyFill="1" applyBorder="1" applyAlignment="1" applyProtection="1">
      <alignment horizontal="left" vertical="center"/>
      <protection hidden="1"/>
    </xf>
    <xf numFmtId="1" fontId="59" fillId="0" borderId="39" xfId="0" applyNumberFormat="1" applyFont="1" applyFill="1" applyBorder="1" applyAlignment="1" applyProtection="1">
      <alignment horizontal="left" vertical="center"/>
      <protection hidden="1"/>
    </xf>
    <xf numFmtId="0" fontId="25" fillId="0" borderId="0" xfId="0" applyFont="1" applyFill="1" applyBorder="1" applyAlignment="1" applyProtection="1">
      <alignment horizontal="left" vertical="center"/>
      <protection locked="0"/>
    </xf>
    <xf numFmtId="9" fontId="8" fillId="0" borderId="29" xfId="10" applyFont="1" applyFill="1" applyBorder="1" applyAlignment="1" applyProtection="1">
      <alignment horizontal="left" vertical="center"/>
      <protection locked="0"/>
    </xf>
    <xf numFmtId="0" fontId="0" fillId="52" borderId="31" xfId="0" applyFill="1" applyBorder="1" applyAlignment="1" applyProtection="1">
      <alignment horizontal="center"/>
      <protection locked="0"/>
    </xf>
    <xf numFmtId="0" fontId="46" fillId="0" borderId="33" xfId="0" applyFont="1" applyBorder="1" applyProtection="1">
      <protection hidden="1"/>
    </xf>
    <xf numFmtId="0" fontId="46" fillId="0" borderId="34" xfId="0" applyFont="1" applyBorder="1" applyProtection="1">
      <protection hidden="1"/>
    </xf>
    <xf numFmtId="0" fontId="46" fillId="0" borderId="35" xfId="0" applyFont="1" applyBorder="1" applyProtection="1">
      <protection hidden="1"/>
    </xf>
    <xf numFmtId="0" fontId="46" fillId="0" borderId="36" xfId="0" applyFont="1" applyBorder="1" applyProtection="1">
      <protection hidden="1"/>
    </xf>
    <xf numFmtId="0" fontId="46" fillId="0" borderId="8" xfId="0" applyFont="1" applyBorder="1" applyProtection="1">
      <protection hidden="1"/>
    </xf>
    <xf numFmtId="0" fontId="71" fillId="0" borderId="8" xfId="0" applyFont="1" applyBorder="1" applyAlignment="1" applyProtection="1">
      <alignment vertical="center"/>
      <protection hidden="1"/>
    </xf>
    <xf numFmtId="0" fontId="46" fillId="0" borderId="37" xfId="0" applyFont="1" applyBorder="1" applyProtection="1">
      <protection hidden="1"/>
    </xf>
    <xf numFmtId="0" fontId="46" fillId="0" borderId="38" xfId="0" applyFont="1" applyBorder="1" applyProtection="1">
      <protection hidden="1"/>
    </xf>
    <xf numFmtId="0" fontId="49" fillId="0" borderId="0" xfId="0" applyFont="1" applyProtection="1">
      <protection hidden="1"/>
    </xf>
    <xf numFmtId="1" fontId="49" fillId="54" borderId="0" xfId="0" applyNumberFormat="1" applyFont="1" applyFill="1" applyAlignment="1" applyProtection="1">
      <alignment horizontal="center" vertical="center"/>
      <protection locked="0"/>
    </xf>
    <xf numFmtId="0" fontId="43" fillId="48" borderId="24" xfId="0" applyFont="1" applyFill="1" applyBorder="1" applyAlignment="1" applyProtection="1">
      <alignment horizontal="center" vertical="center"/>
    </xf>
    <xf numFmtId="0" fontId="36" fillId="35" borderId="0" xfId="48" applyFont="1" applyFill="1" applyBorder="1" applyAlignment="1" applyProtection="1">
      <alignment horizontal="center" vertical="center" wrapText="1"/>
      <protection hidden="1"/>
    </xf>
    <xf numFmtId="1" fontId="25" fillId="52" borderId="15" xfId="0" applyNumberFormat="1" applyFont="1" applyFill="1" applyBorder="1" applyAlignment="1" applyProtection="1">
      <alignment horizontal="center" vertical="center"/>
      <protection locked="0"/>
    </xf>
    <xf numFmtId="1" fontId="25" fillId="52" borderId="0" xfId="0" applyNumberFormat="1" applyFont="1" applyFill="1" applyBorder="1" applyAlignment="1" applyProtection="1">
      <alignment horizontal="center" vertical="center"/>
      <protection locked="0"/>
    </xf>
    <xf numFmtId="166" fontId="0" fillId="52" borderId="0" xfId="0" applyNumberFormat="1" applyFill="1" applyAlignment="1" applyProtection="1">
      <alignment horizontal="center" vertical="center"/>
      <protection locked="0"/>
    </xf>
    <xf numFmtId="1" fontId="0" fillId="0" borderId="0" xfId="0" applyNumberFormat="1" applyProtection="1">
      <protection locked="0"/>
    </xf>
    <xf numFmtId="1" fontId="46" fillId="42" borderId="0" xfId="0" applyNumberFormat="1" applyFont="1" applyFill="1" applyBorder="1" applyAlignment="1" applyProtection="1">
      <alignment horizontal="center" vertical="center"/>
      <protection hidden="1"/>
    </xf>
    <xf numFmtId="1" fontId="44" fillId="42" borderId="8" xfId="0" applyNumberFormat="1" applyFont="1" applyFill="1" applyBorder="1" applyAlignment="1" applyProtection="1">
      <alignment horizontal="center" vertical="center"/>
      <protection hidden="1"/>
    </xf>
    <xf numFmtId="1" fontId="46" fillId="43" borderId="0" xfId="0" applyNumberFormat="1" applyFont="1" applyFill="1" applyBorder="1" applyAlignment="1" applyProtection="1">
      <alignment horizontal="center" vertical="center"/>
      <protection hidden="1"/>
    </xf>
    <xf numFmtId="1" fontId="44" fillId="43" borderId="8" xfId="0" applyNumberFormat="1" applyFont="1" applyFill="1" applyBorder="1" applyAlignment="1" applyProtection="1">
      <alignment horizontal="center" vertical="center"/>
      <protection hidden="1"/>
    </xf>
    <xf numFmtId="1" fontId="46" fillId="44" borderId="0" xfId="0" applyNumberFormat="1" applyFont="1" applyFill="1" applyBorder="1" applyAlignment="1" applyProtection="1">
      <alignment horizontal="center" vertical="center"/>
      <protection hidden="1"/>
    </xf>
    <xf numFmtId="1" fontId="44" fillId="44" borderId="8" xfId="0" applyNumberFormat="1" applyFont="1" applyFill="1" applyBorder="1" applyAlignment="1" applyProtection="1">
      <alignment horizontal="center" vertical="center"/>
      <protection hidden="1"/>
    </xf>
    <xf numFmtId="1" fontId="46" fillId="45" borderId="0" xfId="0" applyNumberFormat="1" applyFont="1" applyFill="1" applyBorder="1" applyAlignment="1" applyProtection="1">
      <alignment horizontal="center" vertical="center"/>
      <protection hidden="1"/>
    </xf>
    <xf numFmtId="1" fontId="44" fillId="45" borderId="8" xfId="0" applyNumberFormat="1" applyFont="1" applyFill="1" applyBorder="1" applyAlignment="1" applyProtection="1">
      <alignment horizontal="center" vertical="center"/>
      <protection hidden="1"/>
    </xf>
    <xf numFmtId="1" fontId="0" fillId="0" borderId="0" xfId="0" applyNumberFormat="1" applyAlignment="1" applyProtection="1">
      <protection locked="0"/>
    </xf>
    <xf numFmtId="1" fontId="46" fillId="2" borderId="38" xfId="0" applyNumberFormat="1" applyFont="1" applyFill="1" applyBorder="1" applyAlignment="1" applyProtection="1">
      <alignment horizontal="center" vertical="center"/>
      <protection hidden="1"/>
    </xf>
    <xf numFmtId="1" fontId="44" fillId="2" borderId="39" xfId="0" applyNumberFormat="1" applyFont="1" applyFill="1" applyBorder="1" applyAlignment="1" applyProtection="1">
      <alignment horizontal="center" vertical="center"/>
      <protection hidden="1"/>
    </xf>
    <xf numFmtId="1" fontId="49" fillId="54" borderId="25" xfId="0" applyNumberFormat="1" applyFont="1" applyFill="1" applyBorder="1" applyAlignment="1" applyProtection="1">
      <alignment horizontal="center" vertical="center"/>
      <protection hidden="1"/>
    </xf>
    <xf numFmtId="1" fontId="49" fillId="54" borderId="28" xfId="0" applyNumberFormat="1" applyFont="1" applyFill="1" applyBorder="1" applyAlignment="1" applyProtection="1">
      <alignment horizontal="center" vertical="center"/>
      <protection hidden="1"/>
    </xf>
    <xf numFmtId="2" fontId="54" fillId="0" borderId="0" xfId="10" applyNumberFormat="1" applyFont="1" applyBorder="1" applyAlignment="1" applyProtection="1">
      <alignment horizontal="center" vertical="center"/>
      <protection hidden="1"/>
    </xf>
    <xf numFmtId="2" fontId="46" fillId="0" borderId="0" xfId="10" applyNumberFormat="1" applyFont="1" applyBorder="1" applyAlignment="1" applyProtection="1">
      <alignment horizontal="center" vertical="center"/>
      <protection hidden="1"/>
    </xf>
    <xf numFmtId="0" fontId="17" fillId="39" borderId="9" xfId="0" applyFont="1" applyFill="1" applyBorder="1" applyAlignment="1" applyProtection="1">
      <alignment horizontal="center" vertical="center"/>
      <protection locked="0"/>
    </xf>
    <xf numFmtId="0" fontId="17" fillId="39" borderId="10" xfId="0" applyFont="1" applyFill="1" applyBorder="1" applyAlignment="1" applyProtection="1">
      <alignment horizontal="center" vertical="center"/>
      <protection locked="0"/>
    </xf>
    <xf numFmtId="0" fontId="23" fillId="39" borderId="0" xfId="0" applyFont="1" applyFill="1" applyAlignment="1" applyProtection="1">
      <alignment horizontal="center" vertical="center"/>
      <protection locked="0"/>
    </xf>
    <xf numFmtId="0" fontId="58" fillId="47" borderId="0" xfId="0" applyFont="1" applyFill="1" applyAlignment="1" applyProtection="1">
      <alignment horizontal="center" vertical="center"/>
      <protection locked="0"/>
    </xf>
    <xf numFmtId="0" fontId="43" fillId="2" borderId="37" xfId="0" applyFont="1" applyFill="1" applyBorder="1" applyAlignment="1" applyProtection="1">
      <alignment horizontal="center" vertical="center"/>
      <protection hidden="1"/>
    </xf>
    <xf numFmtId="0" fontId="43" fillId="2" borderId="38" xfId="0" applyFont="1" applyFill="1" applyBorder="1" applyAlignment="1" applyProtection="1">
      <alignment horizontal="center" vertical="center"/>
      <protection hidden="1"/>
    </xf>
    <xf numFmtId="0" fontId="58" fillId="39" borderId="33" xfId="0" applyFont="1" applyFill="1" applyBorder="1" applyAlignment="1" applyProtection="1">
      <alignment horizontal="center" vertical="center"/>
      <protection hidden="1"/>
    </xf>
    <xf numFmtId="0" fontId="58" fillId="39" borderId="35" xfId="0" applyFont="1" applyFill="1" applyBorder="1" applyAlignment="1" applyProtection="1">
      <alignment horizontal="center" vertical="center"/>
      <protection hidden="1"/>
    </xf>
    <xf numFmtId="0" fontId="58" fillId="39" borderId="34" xfId="0" applyFont="1" applyFill="1" applyBorder="1" applyAlignment="1" applyProtection="1">
      <alignment horizontal="center" vertical="center"/>
      <protection hidden="1"/>
    </xf>
    <xf numFmtId="0" fontId="51" fillId="0" borderId="0" xfId="0" applyFont="1" applyBorder="1" applyAlignment="1" applyProtection="1">
      <alignment horizontal="center"/>
      <protection hidden="1"/>
    </xf>
    <xf numFmtId="0" fontId="43" fillId="42" borderId="36" xfId="0" applyFont="1" applyFill="1" applyBorder="1" applyAlignment="1" applyProtection="1">
      <alignment horizontal="center" vertical="center"/>
      <protection hidden="1"/>
    </xf>
    <xf numFmtId="0" fontId="43" fillId="42" borderId="0" xfId="0" applyFont="1" applyFill="1" applyBorder="1" applyAlignment="1" applyProtection="1">
      <alignment horizontal="center" vertical="center"/>
      <protection hidden="1"/>
    </xf>
    <xf numFmtId="0" fontId="43" fillId="41" borderId="36" xfId="0" applyFont="1" applyFill="1" applyBorder="1" applyAlignment="1" applyProtection="1">
      <alignment horizontal="center" vertical="center"/>
      <protection hidden="1"/>
    </xf>
    <xf numFmtId="0" fontId="43" fillId="41" borderId="0" xfId="0" applyFont="1" applyFill="1" applyBorder="1" applyAlignment="1" applyProtection="1">
      <alignment horizontal="center" vertical="center"/>
      <protection hidden="1"/>
    </xf>
    <xf numFmtId="0" fontId="43" fillId="43" borderId="36" xfId="0" applyFont="1" applyFill="1" applyBorder="1" applyAlignment="1" applyProtection="1">
      <alignment horizontal="center" vertical="center"/>
      <protection hidden="1"/>
    </xf>
    <xf numFmtId="0" fontId="43" fillId="43" borderId="0" xfId="0" applyFont="1" applyFill="1" applyBorder="1" applyAlignment="1" applyProtection="1">
      <alignment horizontal="center" vertical="center"/>
      <protection hidden="1"/>
    </xf>
    <xf numFmtId="0" fontId="43" fillId="44" borderId="36" xfId="0" applyFont="1" applyFill="1" applyBorder="1" applyAlignment="1" applyProtection="1">
      <alignment horizontal="center" vertical="center"/>
      <protection hidden="1"/>
    </xf>
    <xf numFmtId="0" fontId="43" fillId="44" borderId="0" xfId="0" applyFont="1" applyFill="1" applyBorder="1" applyAlignment="1" applyProtection="1">
      <alignment horizontal="center" vertical="center"/>
      <protection hidden="1"/>
    </xf>
    <xf numFmtId="0" fontId="43" fillId="45" borderId="36" xfId="0" applyFont="1" applyFill="1" applyBorder="1" applyAlignment="1" applyProtection="1">
      <alignment horizontal="center" vertical="center"/>
      <protection hidden="1"/>
    </xf>
    <xf numFmtId="0" fontId="43" fillId="45" borderId="0" xfId="0" applyFont="1" applyFill="1" applyBorder="1" applyAlignment="1" applyProtection="1">
      <alignment horizontal="center" vertical="center"/>
      <protection hidden="1"/>
    </xf>
    <xf numFmtId="0" fontId="58" fillId="39" borderId="43" xfId="0" applyFont="1" applyFill="1" applyBorder="1" applyAlignment="1" applyProtection="1">
      <alignment horizontal="center" vertical="center"/>
      <protection locked="0" hidden="1"/>
    </xf>
    <xf numFmtId="0" fontId="58" fillId="39" borderId="40" xfId="0" applyFont="1" applyFill="1" applyBorder="1" applyAlignment="1" applyProtection="1">
      <alignment horizontal="center" vertical="center"/>
      <protection locked="0" hidden="1"/>
    </xf>
    <xf numFmtId="0" fontId="72" fillId="0" borderId="0" xfId="0" applyFont="1" applyBorder="1" applyAlignment="1" applyProtection="1">
      <alignment horizontal="center" vertical="center"/>
      <protection locked="0"/>
    </xf>
    <xf numFmtId="0" fontId="49" fillId="39" borderId="34" xfId="0" applyFont="1" applyFill="1" applyBorder="1" applyAlignment="1" applyProtection="1">
      <alignment horizontal="center" vertical="center"/>
      <protection hidden="1"/>
    </xf>
    <xf numFmtId="0" fontId="49" fillId="39" borderId="35" xfId="0" applyFont="1" applyFill="1" applyBorder="1" applyAlignment="1" applyProtection="1">
      <alignment horizontal="center" vertical="center"/>
      <protection hidden="1"/>
    </xf>
    <xf numFmtId="1" fontId="46" fillId="41" borderId="0" xfId="0" applyNumberFormat="1" applyFont="1" applyFill="1" applyBorder="1" applyAlignment="1" applyProtection="1">
      <alignment horizontal="center" vertical="center"/>
      <protection hidden="1"/>
    </xf>
    <xf numFmtId="1" fontId="46" fillId="41" borderId="8" xfId="0" applyNumberFormat="1" applyFont="1" applyFill="1" applyBorder="1" applyAlignment="1" applyProtection="1">
      <alignment horizontal="center" vertical="center"/>
      <protection hidden="1"/>
    </xf>
    <xf numFmtId="0" fontId="58" fillId="47" borderId="0" xfId="0" applyFont="1" applyFill="1" applyBorder="1" applyAlignment="1" applyProtection="1">
      <alignment horizontal="center" vertical="center"/>
      <protection locked="0" hidden="1"/>
    </xf>
    <xf numFmtId="0" fontId="70" fillId="0" borderId="0" xfId="0" applyFont="1" applyBorder="1" applyAlignment="1" applyProtection="1">
      <alignment horizontal="center" vertical="center"/>
      <protection hidden="1"/>
    </xf>
    <xf numFmtId="0" fontId="48" fillId="46" borderId="24" xfId="0" applyFont="1" applyFill="1" applyBorder="1" applyAlignment="1" applyProtection="1">
      <alignment horizontal="center" vertical="center"/>
      <protection hidden="1"/>
    </xf>
    <xf numFmtId="0" fontId="48" fillId="46" borderId="0" xfId="0" applyFont="1" applyFill="1" applyBorder="1" applyAlignment="1" applyProtection="1">
      <alignment horizontal="center" vertical="center"/>
      <protection hidden="1"/>
    </xf>
    <xf numFmtId="0" fontId="48" fillId="46" borderId="25" xfId="0" applyFont="1" applyFill="1" applyBorder="1" applyAlignment="1" applyProtection="1">
      <alignment horizontal="center" vertical="center"/>
      <protection hidden="1"/>
    </xf>
    <xf numFmtId="0" fontId="46" fillId="0" borderId="0" xfId="0" applyFont="1" applyBorder="1" applyAlignment="1" applyProtection="1">
      <alignment horizontal="center" vertical="center"/>
      <protection hidden="1"/>
    </xf>
    <xf numFmtId="0" fontId="46" fillId="0" borderId="25" xfId="0" applyFont="1" applyBorder="1" applyAlignment="1" applyProtection="1">
      <alignment horizontal="center" vertical="center"/>
      <protection hidden="1"/>
    </xf>
    <xf numFmtId="0" fontId="46" fillId="0" borderId="27" xfId="0" applyFont="1" applyBorder="1" applyAlignment="1" applyProtection="1">
      <alignment horizontal="center" vertical="center"/>
      <protection hidden="1"/>
    </xf>
    <xf numFmtId="0" fontId="46" fillId="0" borderId="28" xfId="0" applyFont="1" applyBorder="1" applyAlignment="1" applyProtection="1">
      <alignment horizontal="center" vertical="center"/>
      <protection hidden="1"/>
    </xf>
    <xf numFmtId="0" fontId="43" fillId="48" borderId="0" xfId="0" applyFont="1" applyFill="1" applyBorder="1" applyAlignment="1" applyProtection="1">
      <alignment horizontal="center" vertical="center"/>
    </xf>
    <xf numFmtId="0" fontId="43" fillId="48" borderId="25" xfId="0" applyFont="1" applyFill="1" applyBorder="1" applyAlignment="1" applyProtection="1">
      <alignment horizontal="center" vertical="center"/>
    </xf>
    <xf numFmtId="0" fontId="58" fillId="34" borderId="21" xfId="0" applyFont="1" applyFill="1" applyBorder="1" applyAlignment="1" applyProtection="1">
      <alignment horizontal="center" vertical="center"/>
      <protection locked="0"/>
    </xf>
    <xf numFmtId="0" fontId="58" fillId="34" borderId="22" xfId="0" applyFont="1" applyFill="1" applyBorder="1" applyAlignment="1" applyProtection="1">
      <alignment horizontal="center" vertical="center"/>
      <protection locked="0"/>
    </xf>
    <xf numFmtId="0" fontId="58" fillId="34" borderId="23" xfId="0" applyFont="1" applyFill="1" applyBorder="1" applyAlignment="1" applyProtection="1">
      <alignment horizontal="center" vertical="center"/>
      <protection locked="0"/>
    </xf>
    <xf numFmtId="1" fontId="44" fillId="52" borderId="0" xfId="0" applyNumberFormat="1" applyFont="1" applyFill="1" applyBorder="1" applyAlignment="1" applyProtection="1">
      <alignment horizontal="center" vertical="center"/>
      <protection locked="0"/>
    </xf>
    <xf numFmtId="1" fontId="44" fillId="52" borderId="25" xfId="0" applyNumberFormat="1" applyFont="1" applyFill="1" applyBorder="1" applyAlignment="1" applyProtection="1">
      <alignment horizontal="center" vertical="center"/>
      <protection locked="0"/>
    </xf>
    <xf numFmtId="0" fontId="42" fillId="53" borderId="21" xfId="0" applyFont="1" applyFill="1" applyBorder="1" applyAlignment="1" applyProtection="1">
      <alignment horizontal="center" vertical="center"/>
    </xf>
    <xf numFmtId="0" fontId="42" fillId="53" borderId="22" xfId="0" applyFont="1" applyFill="1" applyBorder="1" applyAlignment="1" applyProtection="1">
      <alignment horizontal="center" vertical="center"/>
    </xf>
    <xf numFmtId="0" fontId="42" fillId="53" borderId="23" xfId="0" applyFont="1" applyFill="1" applyBorder="1" applyAlignment="1" applyProtection="1">
      <alignment horizontal="center" vertical="center"/>
    </xf>
    <xf numFmtId="0" fontId="58" fillId="55" borderId="22" xfId="0" applyFont="1" applyFill="1" applyBorder="1" applyAlignment="1" applyProtection="1">
      <alignment horizontal="center" vertical="center"/>
      <protection hidden="1"/>
    </xf>
    <xf numFmtId="0" fontId="58" fillId="55" borderId="23" xfId="0" applyFont="1" applyFill="1" applyBorder="1" applyAlignment="1" applyProtection="1">
      <alignment horizontal="center" vertical="center"/>
      <protection hidden="1"/>
    </xf>
    <xf numFmtId="0" fontId="58" fillId="55" borderId="21" xfId="0" applyFont="1" applyFill="1" applyBorder="1" applyAlignment="1" applyProtection="1">
      <alignment horizontal="center" vertical="center"/>
      <protection hidden="1"/>
    </xf>
    <xf numFmtId="0" fontId="48" fillId="46" borderId="0" xfId="0" applyFont="1" applyFill="1" applyBorder="1" applyAlignment="1" applyProtection="1">
      <alignment horizontal="center" vertical="center"/>
    </xf>
    <xf numFmtId="0" fontId="58" fillId="47" borderId="21" xfId="0" applyFont="1" applyFill="1" applyBorder="1" applyAlignment="1" applyProtection="1">
      <alignment horizontal="center" vertical="center"/>
    </xf>
    <xf numFmtId="0" fontId="58" fillId="47" borderId="22" xfId="0" applyFont="1" applyFill="1" applyBorder="1" applyAlignment="1" applyProtection="1">
      <alignment horizontal="center" vertical="center"/>
    </xf>
    <xf numFmtId="0" fontId="58" fillId="47" borderId="23" xfId="0" applyFont="1" applyFill="1" applyBorder="1" applyAlignment="1" applyProtection="1">
      <alignment horizontal="center" vertical="center"/>
    </xf>
    <xf numFmtId="0" fontId="58" fillId="47" borderId="33" xfId="0" applyFont="1" applyFill="1" applyBorder="1" applyAlignment="1" applyProtection="1">
      <alignment horizontal="center" vertical="center"/>
      <protection hidden="1"/>
    </xf>
    <xf numFmtId="0" fontId="58" fillId="47" borderId="34" xfId="0" applyFont="1" applyFill="1" applyBorder="1" applyAlignment="1" applyProtection="1">
      <alignment horizontal="center" vertical="center"/>
      <protection hidden="1"/>
    </xf>
    <xf numFmtId="0" fontId="46" fillId="0" borderId="37" xfId="0" applyFont="1" applyBorder="1" applyAlignment="1" applyProtection="1">
      <alignment horizontal="center"/>
      <protection hidden="1"/>
    </xf>
    <xf numFmtId="0" fontId="46" fillId="0" borderId="38" xfId="0" applyFont="1" applyBorder="1" applyAlignment="1" applyProtection="1">
      <alignment horizontal="center"/>
      <protection hidden="1"/>
    </xf>
    <xf numFmtId="0" fontId="46" fillId="0" borderId="36" xfId="0" applyFont="1" applyBorder="1" applyAlignment="1" applyProtection="1">
      <alignment horizontal="left" vertical="center"/>
      <protection hidden="1"/>
    </xf>
    <xf numFmtId="0" fontId="46" fillId="0" borderId="0" xfId="0" applyFont="1" applyBorder="1" applyAlignment="1" applyProtection="1">
      <alignment horizontal="left" vertical="center"/>
      <protection hidden="1"/>
    </xf>
    <xf numFmtId="0" fontId="36" fillId="56" borderId="0" xfId="50" applyFont="1" applyFill="1" applyAlignment="1" applyProtection="1">
      <alignment horizontal="center" vertical="center" textRotation="90"/>
      <protection hidden="1"/>
    </xf>
    <xf numFmtId="0" fontId="63" fillId="56" borderId="0" xfId="50" applyFont="1" applyFill="1" applyAlignment="1" applyProtection="1">
      <alignment horizontal="center" vertical="center"/>
      <protection locked="0" hidden="1"/>
    </xf>
    <xf numFmtId="0" fontId="29" fillId="56" borderId="16" xfId="50" applyFont="1" applyFill="1" applyBorder="1" applyAlignment="1" applyProtection="1">
      <alignment horizontal="center" vertical="center"/>
      <protection locked="0" hidden="1"/>
    </xf>
    <xf numFmtId="0" fontId="63" fillId="56" borderId="0" xfId="50" applyFont="1" applyFill="1" applyAlignment="1" applyProtection="1">
      <alignment horizontal="center" vertical="center"/>
      <protection hidden="1"/>
    </xf>
    <xf numFmtId="0" fontId="29" fillId="56" borderId="16" xfId="50" applyFont="1" applyFill="1" applyBorder="1" applyAlignment="1" applyProtection="1">
      <alignment horizontal="center" vertical="center"/>
      <protection hidden="1"/>
    </xf>
    <xf numFmtId="0" fontId="64" fillId="59" borderId="0" xfId="50" applyFont="1" applyFill="1" applyAlignment="1" applyProtection="1">
      <alignment horizontal="center" vertical="center" textRotation="90"/>
      <protection hidden="1"/>
    </xf>
    <xf numFmtId="0" fontId="65" fillId="59" borderId="0" xfId="50" applyFont="1" applyFill="1" applyAlignment="1" applyProtection="1">
      <alignment horizontal="center" vertical="center"/>
      <protection locked="0" hidden="1"/>
    </xf>
    <xf numFmtId="0" fontId="65" fillId="59" borderId="0" xfId="50" applyFont="1" applyFill="1" applyBorder="1" applyAlignment="1" applyProtection="1">
      <alignment horizontal="center" vertical="center"/>
      <protection locked="0" hidden="1"/>
    </xf>
    <xf numFmtId="0" fontId="36" fillId="56" borderId="33" xfId="50" applyFont="1" applyFill="1" applyBorder="1" applyAlignment="1" applyProtection="1">
      <alignment horizontal="center" vertical="center"/>
      <protection hidden="1"/>
    </xf>
    <xf numFmtId="0" fontId="36" fillId="56" borderId="36" xfId="50" applyFont="1" applyFill="1" applyBorder="1" applyAlignment="1" applyProtection="1">
      <alignment horizontal="center" vertical="center"/>
      <protection hidden="1"/>
    </xf>
    <xf numFmtId="0" fontId="36" fillId="56" borderId="37" xfId="50" applyFont="1" applyFill="1" applyBorder="1" applyAlignment="1" applyProtection="1">
      <alignment horizontal="center" vertical="center"/>
      <protection hidden="1"/>
    </xf>
    <xf numFmtId="0" fontId="65" fillId="59" borderId="32" xfId="50" applyFont="1" applyFill="1" applyBorder="1" applyAlignment="1" applyProtection="1">
      <alignment horizontal="center" vertical="center"/>
      <protection locked="0" hidden="1"/>
    </xf>
    <xf numFmtId="0" fontId="23" fillId="47" borderId="0" xfId="50" applyFont="1" applyFill="1" applyAlignment="1">
      <alignment horizontal="center" vertical="center"/>
    </xf>
    <xf numFmtId="0" fontId="58" fillId="0" borderId="44" xfId="48" applyFont="1" applyFill="1" applyBorder="1" applyAlignment="1" applyProtection="1">
      <alignment horizontal="center" vertical="center"/>
      <protection locked="0" hidden="1"/>
    </xf>
    <xf numFmtId="0" fontId="58" fillId="0" borderId="45" xfId="48" applyFont="1" applyFill="1" applyBorder="1" applyAlignment="1" applyProtection="1">
      <alignment horizontal="center" vertical="center"/>
      <protection locked="0" hidden="1"/>
    </xf>
    <xf numFmtId="0" fontId="58" fillId="0" borderId="36" xfId="48" applyFont="1" applyFill="1" applyBorder="1" applyAlignment="1" applyProtection="1">
      <alignment horizontal="center" vertical="center"/>
      <protection locked="0" hidden="1"/>
    </xf>
    <xf numFmtId="0" fontId="58" fillId="0" borderId="8" xfId="48" applyFont="1" applyFill="1" applyBorder="1" applyAlignment="1" applyProtection="1">
      <alignment horizontal="center" vertical="center"/>
      <protection locked="0" hidden="1"/>
    </xf>
    <xf numFmtId="0" fontId="58" fillId="0" borderId="37" xfId="48" applyFont="1" applyFill="1" applyBorder="1" applyAlignment="1" applyProtection="1">
      <alignment horizontal="center" vertical="center"/>
      <protection locked="0" hidden="1"/>
    </xf>
    <xf numFmtId="0" fontId="58" fillId="0" borderId="39" xfId="48" applyFont="1" applyFill="1" applyBorder="1" applyAlignment="1" applyProtection="1">
      <alignment horizontal="center" vertical="center"/>
      <protection locked="0" hidden="1"/>
    </xf>
    <xf numFmtId="1" fontId="27" fillId="0" borderId="17" xfId="0" applyNumberFormat="1" applyFont="1" applyBorder="1" applyAlignment="1" applyProtection="1">
      <alignment vertical="center"/>
      <protection locked="0"/>
    </xf>
    <xf numFmtId="0" fontId="26" fillId="0" borderId="0" xfId="0" applyFont="1" applyFill="1" applyBorder="1" applyAlignment="1" applyProtection="1">
      <alignment horizontal="center" vertical="center"/>
      <protection locked="0"/>
    </xf>
    <xf numFmtId="0" fontId="23" fillId="0" borderId="0" xfId="0" applyFont="1" applyFill="1" applyBorder="1" applyAlignment="1" applyProtection="1">
      <alignment horizontal="left" vertical="center"/>
      <protection locked="0"/>
    </xf>
    <xf numFmtId="0" fontId="23" fillId="0" borderId="0" xfId="0" applyFont="1" applyFill="1" applyBorder="1" applyAlignment="1" applyProtection="1">
      <alignment horizontal="center" vertical="center"/>
      <protection locked="0"/>
    </xf>
    <xf numFmtId="43" fontId="26" fillId="0" borderId="0" xfId="6" applyFont="1" applyFill="1" applyBorder="1" applyAlignment="1" applyProtection="1">
      <alignment horizontal="center" vertical="center"/>
      <protection locked="0"/>
    </xf>
    <xf numFmtId="0" fontId="0" fillId="0" borderId="0" xfId="0" applyAlignment="1">
      <alignment horizontal="center" vertical="center"/>
    </xf>
    <xf numFmtId="0" fontId="20" fillId="0" borderId="0" xfId="0" applyFont="1"/>
    <xf numFmtId="0" fontId="20" fillId="0" borderId="12" xfId="0" applyFont="1" applyBorder="1"/>
    <xf numFmtId="0" fontId="20" fillId="0" borderId="46" xfId="0" applyFont="1" applyBorder="1" applyAlignment="1">
      <alignment horizontal="center" vertical="center"/>
    </xf>
    <xf numFmtId="0" fontId="20" fillId="0" borderId="47" xfId="0" applyFont="1" applyBorder="1"/>
    <xf numFmtId="0" fontId="0" fillId="0" borderId="46" xfId="0" applyBorder="1"/>
  </cellXfs>
  <cellStyles count="52">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4" builtinId="22" customBuiltin="1"/>
    <cellStyle name="Check Cell" xfId="19" builtinId="23" customBuiltin="1"/>
    <cellStyle name="Comma" xfId="6" builtinId="3" customBuiltin="1"/>
    <cellStyle name="Comma [0]" xfId="7" builtinId="6" customBuiltin="1"/>
    <cellStyle name="Comma 2" xfId="51" xr:uid="{C9DEBF0C-7826-EE41-B17A-0448E60B4AFD}"/>
    <cellStyle name="Currency" xfId="8" builtinId="4" customBuiltin="1"/>
    <cellStyle name="Currency [0]" xfId="9" builtinId="7" customBuiltin="1"/>
    <cellStyle name="Explanatory Text" xfId="22" builtinId="53" customBuiltin="1"/>
    <cellStyle name="Good" xfId="13" builtinId="26" customBuiltin="1"/>
    <cellStyle name="Heading 1" xfId="2" builtinId="16" customBuiltin="1"/>
    <cellStyle name="Heading 2" xfId="3" builtinId="17" customBuiltin="1"/>
    <cellStyle name="Heading 3" xfId="11" builtinId="18" customBuiltin="1"/>
    <cellStyle name="Heading 4" xfId="12" builtinId="19" customBuiltin="1"/>
    <cellStyle name="Hyperlink" xfId="48" builtinId="8"/>
    <cellStyle name="Input" xfId="16" builtinId="20" customBuiltin="1"/>
    <cellStyle name="Linked Cell" xfId="18" builtinId="24" customBuiltin="1"/>
    <cellStyle name="Neutral" xfId="15" builtinId="28" customBuiltin="1"/>
    <cellStyle name="Normal" xfId="0" builtinId="0" customBuiltin="1"/>
    <cellStyle name="Normal 2" xfId="49" xr:uid="{730B707C-6A0A-A641-820F-457568997791}"/>
    <cellStyle name="Normal 3" xfId="50" xr:uid="{9E00C5FA-D0B4-F442-A972-67FE11382A7C}"/>
    <cellStyle name="Note" xfId="21" builtinId="10" customBuiltin="1"/>
    <cellStyle name="Output" xfId="17" builtinId="21" customBuiltin="1"/>
    <cellStyle name="Percent" xfId="10" builtinId="5" customBuiltin="1"/>
    <cellStyle name="Subtitle" xfId="5" xr:uid="{00000000-0005-0000-0000-000004000000}"/>
    <cellStyle name="Title" xfId="1" builtinId="15" customBuiltin="1"/>
    <cellStyle name="Total" xfId="23" builtinId="25" customBuiltin="1"/>
    <cellStyle name="Warning Text" xfId="20" builtinId="11" customBuiltin="1"/>
  </cellStyles>
  <dxfs count="1">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25466"/>
      <color rgb="FFB0DFDB"/>
      <color rgb="FF2F2E2E"/>
      <color rgb="FF557F8C"/>
      <color rgb="FF00A8AA"/>
      <color rgb="FF55BDBA"/>
      <color rgb="FF00D3D6"/>
      <color rgb="FF00AEB4"/>
      <color rgb="FF0091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221544432604306E-2"/>
          <c:y val="1.4244692088094091E-2"/>
          <c:w val="0.94819819819819817"/>
          <c:h val="0.95967741935483875"/>
        </c:manualLayout>
      </c:layout>
      <c:bubbleChart>
        <c:varyColors val="0"/>
        <c:ser>
          <c:idx val="1"/>
          <c:order val="0"/>
          <c:spPr>
            <a:solidFill>
              <a:srgbClr val="000000"/>
            </a:solidFill>
            <a:ln w="57150">
              <a:solidFill>
                <a:schemeClr val="tx1"/>
              </a:solidFill>
            </a:ln>
          </c:spPr>
          <c:invertIfNegative val="1"/>
          <c:xVal>
            <c:numLit>
              <c:formatCode>General</c:formatCode>
              <c:ptCount val="3"/>
              <c:pt idx="0">
                <c:v>0</c:v>
              </c:pt>
              <c:pt idx="1">
                <c:v>0</c:v>
              </c:pt>
              <c:pt idx="2">
                <c:v>0</c:v>
              </c:pt>
            </c:numLit>
          </c:xVal>
          <c:yVal>
            <c:numLit>
              <c:formatCode>General</c:formatCode>
              <c:ptCount val="3"/>
              <c:pt idx="0">
                <c:v>1</c:v>
              </c:pt>
              <c:pt idx="1">
                <c:v>2</c:v>
              </c:pt>
              <c:pt idx="2">
                <c:v>3</c:v>
              </c:pt>
            </c:numLit>
          </c:yVal>
          <c:bubbleSize>
            <c:numLit>
              <c:formatCode>General</c:formatCode>
              <c:ptCount val="3"/>
              <c:pt idx="0">
                <c:v>1</c:v>
              </c:pt>
              <c:pt idx="1">
                <c:v>1</c:v>
              </c:pt>
              <c:pt idx="2">
                <c:v>1</c:v>
              </c:pt>
            </c:numLit>
          </c:bubbleSize>
          <c:bubble3D val="1"/>
          <c:extLst>
            <c:ext xmlns:c14="http://schemas.microsoft.com/office/drawing/2007/8/2/chart" uri="{6F2FDCE9-48DA-4B69-8628-5D25D57E5C99}">
              <c14:invertSolidFillFmt>
                <c14:spPr xmlns:c14="http://schemas.microsoft.com/office/drawing/2007/8/2/chart">
                  <a:solidFill>
                    <a:srgbClr val="FFFFFF"/>
                  </a:solidFill>
                  <a:ln w="57150">
                    <a:solidFill>
                      <a:schemeClr val="tx1"/>
                    </a:solidFill>
                  </a:ln>
                </c14:spPr>
              </c14:invertSolidFillFmt>
            </c:ext>
            <c:ext xmlns:c16="http://schemas.microsoft.com/office/drawing/2014/chart" uri="{C3380CC4-5D6E-409C-BE32-E72D297353CC}">
              <c16:uniqueId val="{00000000-9960-4C41-BEB3-CDB7123F4394}"/>
            </c:ext>
          </c:extLst>
        </c:ser>
        <c:ser>
          <c:idx val="0"/>
          <c:order val="1"/>
          <c:spPr>
            <a:solidFill>
              <a:srgbClr val="9999FF"/>
            </a:solidFill>
            <a:ln w="57150">
              <a:solidFill>
                <a:srgbClr val="000000"/>
              </a:solidFill>
              <a:prstDash val="solid"/>
            </a:ln>
          </c:spPr>
          <c:invertIfNegative val="0"/>
          <c:dPt>
            <c:idx val="0"/>
            <c:invertIfNegative val="1"/>
            <c:bubble3D val="1"/>
            <c:spPr>
              <a:solidFill>
                <a:srgbClr val="FF0000"/>
              </a:solidFill>
              <a:ln w="57150">
                <a:solidFill>
                  <a:srgbClr val="000000"/>
                </a:solidFill>
                <a:prstDash val="solid"/>
              </a:ln>
            </c:spPr>
            <c:extLst>
              <c:ext xmlns:c16="http://schemas.microsoft.com/office/drawing/2014/chart" uri="{C3380CC4-5D6E-409C-BE32-E72D297353CC}">
                <c16:uniqueId val="{00000002-9960-4C41-BEB3-CDB7123F4394}"/>
              </c:ext>
            </c:extLst>
          </c:dPt>
          <c:dPt>
            <c:idx val="1"/>
            <c:invertIfNegative val="1"/>
            <c:bubble3D val="1"/>
            <c:spPr>
              <a:solidFill>
                <a:srgbClr val="FFCC00"/>
              </a:solidFill>
              <a:ln w="57150">
                <a:solidFill>
                  <a:srgbClr val="000000"/>
                </a:solidFill>
                <a:prstDash val="solid"/>
              </a:ln>
            </c:spPr>
            <c:extLst>
              <c:ext xmlns:c16="http://schemas.microsoft.com/office/drawing/2014/chart" uri="{C3380CC4-5D6E-409C-BE32-E72D297353CC}">
                <c16:uniqueId val="{00000004-9960-4C41-BEB3-CDB7123F4394}"/>
              </c:ext>
            </c:extLst>
          </c:dPt>
          <c:dPt>
            <c:idx val="2"/>
            <c:invertIfNegative val="1"/>
            <c:bubble3D val="1"/>
            <c:spPr>
              <a:solidFill>
                <a:srgbClr val="00B050"/>
              </a:solidFill>
              <a:ln w="57150">
                <a:solidFill>
                  <a:srgbClr val="000000"/>
                </a:solidFill>
                <a:prstDash val="solid"/>
              </a:ln>
            </c:spPr>
            <c:extLst>
              <c:ext xmlns:c16="http://schemas.microsoft.com/office/drawing/2014/chart" uri="{C3380CC4-5D6E-409C-BE32-E72D297353CC}">
                <c16:uniqueId val="{00000006-9960-4C41-BEB3-CDB7123F4394}"/>
              </c:ext>
            </c:extLst>
          </c:dPt>
          <c:xVal>
            <c:numLit>
              <c:formatCode>General</c:formatCode>
              <c:ptCount val="3"/>
              <c:pt idx="0">
                <c:v>0</c:v>
              </c:pt>
              <c:pt idx="1">
                <c:v>0</c:v>
              </c:pt>
              <c:pt idx="2">
                <c:v>0</c:v>
              </c:pt>
            </c:numLit>
          </c:xVal>
          <c:yVal>
            <c:numLit>
              <c:formatCode>General</c:formatCode>
              <c:ptCount val="3"/>
              <c:pt idx="0">
                <c:v>3</c:v>
              </c:pt>
              <c:pt idx="1">
                <c:v>2</c:v>
              </c:pt>
              <c:pt idx="2">
                <c:v>1</c:v>
              </c:pt>
            </c:numLit>
          </c:yVal>
          <c:bubbleSize>
            <c:numLit>
              <c:formatCode>General</c:formatCode>
              <c:ptCount val="3"/>
              <c:pt idx="0">
                <c:v>0</c:v>
              </c:pt>
              <c:pt idx="1">
                <c:v>1</c:v>
              </c:pt>
              <c:pt idx="2">
                <c:v>0</c:v>
              </c:pt>
            </c:numLit>
          </c:bubbleSize>
          <c:bubble3D val="1"/>
          <c:extLst>
            <c:ext xmlns:c16="http://schemas.microsoft.com/office/drawing/2014/chart" uri="{C3380CC4-5D6E-409C-BE32-E72D297353CC}">
              <c16:uniqueId val="{00000007-9960-4C41-BEB3-CDB7123F4394}"/>
            </c:ext>
          </c:extLst>
        </c:ser>
        <c:dLbls>
          <c:showLegendKey val="0"/>
          <c:showVal val="0"/>
          <c:showCatName val="0"/>
          <c:showSerName val="0"/>
          <c:showPercent val="0"/>
          <c:showBubbleSize val="0"/>
        </c:dLbls>
        <c:bubbleScale val="300"/>
        <c:showNegBubbles val="0"/>
        <c:axId val="129358840"/>
        <c:axId val="129359232"/>
      </c:bubbleChart>
      <c:valAx>
        <c:axId val="129358840"/>
        <c:scaling>
          <c:orientation val="minMax"/>
          <c:max val="1"/>
          <c:min val="-1"/>
        </c:scaling>
        <c:delete val="1"/>
        <c:axPos val="b"/>
        <c:numFmt formatCode="General" sourceLinked="1"/>
        <c:majorTickMark val="out"/>
        <c:minorTickMark val="none"/>
        <c:tickLblPos val="nextTo"/>
        <c:crossAx val="129359232"/>
        <c:crossesAt val="0"/>
        <c:crossBetween val="midCat"/>
        <c:majorUnit val="0.05"/>
        <c:minorUnit val="4.0000000000000001E-3"/>
      </c:valAx>
      <c:valAx>
        <c:axId val="129359232"/>
        <c:scaling>
          <c:orientation val="minMax"/>
          <c:max val="3.5"/>
          <c:min val="0.5"/>
        </c:scaling>
        <c:delete val="1"/>
        <c:axPos val="l"/>
        <c:numFmt formatCode="General" sourceLinked="1"/>
        <c:majorTickMark val="out"/>
        <c:minorTickMark val="none"/>
        <c:tickLblPos val="nextTo"/>
        <c:crossAx val="129358840"/>
        <c:crosses val="autoZero"/>
        <c:crossBetween val="midCat"/>
        <c:majorUnit val="1"/>
        <c:minorUnit val="0.5"/>
      </c:valAx>
      <c:spPr>
        <a:noFill/>
        <a:ln w="25400">
          <a:noFill/>
        </a:ln>
      </c:spPr>
    </c:plotArea>
    <c:plotVisOnly val="1"/>
    <c:dispBlanksAs val="gap"/>
    <c:showDLblsOverMax val="0"/>
  </c:chart>
  <c:spPr>
    <a:noFill/>
    <a:ln w="38100">
      <a:noFill/>
      <a:prstDash val="solid"/>
    </a:ln>
    <a:effectLst/>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1.  Aerobic Threshold</a:t>
            </a:r>
            <a:endParaRPr lang="en-US" b="1">
              <a:solidFill>
                <a:schemeClr val="accent1"/>
              </a:solidFill>
            </a:endParaRPr>
          </a:p>
        </c:rich>
      </c:tx>
      <c:layout>
        <c:manualLayout>
          <c:xMode val="edge"/>
          <c:yMode val="edge"/>
          <c:x val="0.28538333433312485"/>
          <c:y val="5.4361813747047558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27786562176786417"/>
          <c:y val="0.19574427816170295"/>
          <c:w val="0.44788632737649486"/>
          <c:h val="0.7914703346298253"/>
        </c:manualLayout>
      </c:layout>
      <c:doughnutChart>
        <c:varyColors val="1"/>
        <c:ser>
          <c:idx val="0"/>
          <c:order val="0"/>
          <c:dPt>
            <c:idx val="0"/>
            <c:bubble3D val="0"/>
            <c:spPr>
              <a:solidFill>
                <a:srgbClr val="00A8AA"/>
              </a:solidFill>
              <a:ln w="19050">
                <a:solidFill>
                  <a:schemeClr val="lt1"/>
                </a:solidFill>
              </a:ln>
              <a:effectLst/>
            </c:spPr>
            <c:extLst>
              <c:ext xmlns:c16="http://schemas.microsoft.com/office/drawing/2014/chart" uri="{C3380CC4-5D6E-409C-BE32-E72D297353CC}">
                <c16:uniqueId val="{00000001-EB5C-416E-B540-F4D7430EC58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EB5C-416E-B540-F4D7430EC58B}"/>
              </c:ext>
            </c:extLst>
          </c:dPt>
          <c:dLbls>
            <c:dLbl>
              <c:idx val="1"/>
              <c:delete val="1"/>
              <c:extLst>
                <c:ext xmlns:c15="http://schemas.microsoft.com/office/drawing/2012/chart" uri="{CE6537A1-D6FC-4f65-9D91-7224C49458BB}"/>
                <c:ext xmlns:c16="http://schemas.microsoft.com/office/drawing/2014/chart" uri="{C3380CC4-5D6E-409C-BE32-E72D297353CC}">
                  <c16:uniqueId val="{00000003-EB5C-416E-B540-F4D7430EC58B}"/>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Profile!$F$13:$F$14</c:f>
              <c:numCache>
                <c:formatCode>0%</c:formatCode>
                <c:ptCount val="2"/>
                <c:pt idx="0">
                  <c:v>0.625</c:v>
                </c:pt>
                <c:pt idx="1">
                  <c:v>0.375</c:v>
                </c:pt>
              </c:numCache>
            </c:numRef>
          </c:val>
          <c:extLst>
            <c:ext xmlns:c16="http://schemas.microsoft.com/office/drawing/2014/chart" uri="{C3380CC4-5D6E-409C-BE32-E72D297353CC}">
              <c16:uniqueId val="{00000004-EB5C-416E-B540-F4D7430EC58B}"/>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4. V02</a:t>
            </a:r>
            <a:r>
              <a:rPr lang="en-US" b="1" baseline="0">
                <a:solidFill>
                  <a:schemeClr val="dk1"/>
                </a:solidFill>
                <a:latin typeface="+mn-lt"/>
                <a:ea typeface="+mn-ea"/>
                <a:cs typeface="+mn-cs"/>
              </a:rPr>
              <a:t> Max</a:t>
            </a:r>
            <a:endParaRPr lang="en-US" b="1">
              <a:solidFill>
                <a:schemeClr val="accent1"/>
              </a:solidFill>
            </a:endParaRPr>
          </a:p>
        </c:rich>
      </c:tx>
      <c:layout>
        <c:manualLayout>
          <c:xMode val="edge"/>
          <c:yMode val="edge"/>
          <c:x val="0.3906032481002768"/>
          <c:y val="3.60082304526749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27786562176786417"/>
          <c:y val="0.19574427816170295"/>
          <c:w val="0.44788632737649486"/>
          <c:h val="0.7914703346298253"/>
        </c:manualLayout>
      </c:layout>
      <c:doughnutChart>
        <c:varyColors val="1"/>
        <c:ser>
          <c:idx val="0"/>
          <c:order val="0"/>
          <c:tx>
            <c:strRef>
              <c:f>'Test Results'!$F$18</c:f>
              <c:strCache>
                <c:ptCount val="1"/>
                <c:pt idx="0">
                  <c:v>1 . VO2Max</c:v>
                </c:pt>
              </c:strCache>
            </c:strRef>
          </c:tx>
          <c:dPt>
            <c:idx val="0"/>
            <c:bubble3D val="0"/>
            <c:spPr>
              <a:solidFill>
                <a:srgbClr val="557F8C"/>
              </a:solidFill>
              <a:ln w="19050">
                <a:solidFill>
                  <a:schemeClr val="lt1"/>
                </a:solidFill>
              </a:ln>
              <a:effectLst/>
            </c:spPr>
            <c:extLst>
              <c:ext xmlns:c16="http://schemas.microsoft.com/office/drawing/2014/chart" uri="{C3380CC4-5D6E-409C-BE32-E72D297353CC}">
                <c16:uniqueId val="{00000001-0E5B-4ED5-8358-BDB46C462A4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0E5B-4ED5-8358-BDB46C462A42}"/>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5B-4ED5-8358-BDB46C462A42}"/>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'Test Results'!$F$22:$F$23</c:f>
              <c:numCache>
                <c:formatCode>0%</c:formatCode>
                <c:ptCount val="2"/>
                <c:pt idx="0">
                  <c:v>0.91666666666666663</c:v>
                </c:pt>
                <c:pt idx="1">
                  <c:v>8.333333333333337E-2</c:v>
                </c:pt>
              </c:numCache>
            </c:numRef>
          </c:val>
          <c:extLst>
            <c:ext xmlns:c16="http://schemas.microsoft.com/office/drawing/2014/chart" uri="{C3380CC4-5D6E-409C-BE32-E72D297353CC}">
              <c16:uniqueId val="{00000004-0E5B-4ED5-8358-BDB46C462A42}"/>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7. Body</a:t>
            </a:r>
            <a:r>
              <a:rPr lang="en-US" b="1" baseline="0">
                <a:solidFill>
                  <a:schemeClr val="dk1"/>
                </a:solidFill>
                <a:latin typeface="+mn-lt"/>
                <a:ea typeface="+mn-ea"/>
                <a:cs typeface="+mn-cs"/>
              </a:rPr>
              <a:t> Fat %</a:t>
            </a:r>
            <a:endParaRPr lang="en-US" b="1">
              <a:solidFill>
                <a:schemeClr val="accent1"/>
              </a:solidFill>
            </a:endParaRPr>
          </a:p>
        </c:rich>
      </c:tx>
      <c:layout>
        <c:manualLayout>
          <c:xMode val="edge"/>
          <c:yMode val="edge"/>
          <c:x val="0.35419353071293153"/>
          <c:y val="8.6959467682066013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27786562176786417"/>
          <c:y val="0.19574427816170295"/>
          <c:w val="0.44788632737649486"/>
          <c:h val="0.791470334629825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43-4882-A98C-3597C8522101}"/>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8143-4882-A98C-3597C8522101}"/>
              </c:ext>
            </c:extLst>
          </c:dPt>
          <c:dLbls>
            <c:dLbl>
              <c:idx val="0"/>
              <c:delete val="1"/>
              <c:extLst>
                <c:ext xmlns:c15="http://schemas.microsoft.com/office/drawing/2012/chart" uri="{CE6537A1-D6FC-4f65-9D91-7224C49458BB}"/>
                <c:ext xmlns:c16="http://schemas.microsoft.com/office/drawing/2014/chart" uri="{C3380CC4-5D6E-409C-BE32-E72D297353CC}">
                  <c16:uniqueId val="{00000001-8143-4882-A98C-3597C8522101}"/>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Profile!$M$13:$M$14</c:f>
              <c:numCache>
                <c:formatCode>0%</c:formatCode>
                <c:ptCount val="2"/>
                <c:pt idx="0">
                  <c:v>0.55555555555555558</c:v>
                </c:pt>
                <c:pt idx="1">
                  <c:v>0.44444444444444442</c:v>
                </c:pt>
              </c:numCache>
            </c:numRef>
          </c:val>
          <c:extLst>
            <c:ext xmlns:c16="http://schemas.microsoft.com/office/drawing/2014/chart" uri="{C3380CC4-5D6E-409C-BE32-E72D297353CC}">
              <c16:uniqueId val="{00000004-8143-4882-A98C-3597C8522101}"/>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2. Anaerobic Threshold</a:t>
            </a:r>
            <a:endParaRPr lang="en-US" b="1">
              <a:solidFill>
                <a:schemeClr val="accent1"/>
              </a:solidFill>
            </a:endParaRPr>
          </a:p>
        </c:rich>
      </c:tx>
      <c:layout>
        <c:manualLayout>
          <c:xMode val="edge"/>
          <c:yMode val="edge"/>
          <c:x val="0.24104336024815665"/>
          <c:y val="4.8793366498157943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27786562176786417"/>
          <c:y val="0.19574427816170295"/>
          <c:w val="0.44788632737649486"/>
          <c:h val="0.7914703346298253"/>
        </c:manualLayout>
      </c:layout>
      <c:doughnutChart>
        <c:varyColors val="1"/>
        <c:ser>
          <c:idx val="0"/>
          <c:order val="0"/>
          <c:dPt>
            <c:idx val="0"/>
            <c:bubble3D val="0"/>
            <c:spPr>
              <a:solidFill>
                <a:srgbClr val="55BDBA"/>
              </a:solidFill>
              <a:ln w="19050">
                <a:solidFill>
                  <a:schemeClr val="lt1"/>
                </a:solidFill>
              </a:ln>
              <a:effectLst/>
            </c:spPr>
            <c:extLst>
              <c:ext xmlns:c16="http://schemas.microsoft.com/office/drawing/2014/chart" uri="{C3380CC4-5D6E-409C-BE32-E72D297353CC}">
                <c16:uniqueId val="{00000001-32B2-4F49-8441-EC9AE9BCBCE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32B2-4F49-8441-EC9AE9BCBCE4}"/>
              </c:ext>
            </c:extLst>
          </c:dPt>
          <c:dLbls>
            <c:dLbl>
              <c:idx val="1"/>
              <c:delete val="1"/>
              <c:extLst>
                <c:ext xmlns:c15="http://schemas.microsoft.com/office/drawing/2012/chart" uri="{CE6537A1-D6FC-4f65-9D91-7224C49458BB}"/>
                <c:ext xmlns:c16="http://schemas.microsoft.com/office/drawing/2014/chart" uri="{C3380CC4-5D6E-409C-BE32-E72D297353CC}">
                  <c16:uniqueId val="{00000003-32B2-4F49-8441-EC9AE9BCBCE4}"/>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Profile!$G$13:$G$14</c:f>
              <c:numCache>
                <c:formatCode>0%</c:formatCode>
                <c:ptCount val="2"/>
                <c:pt idx="0">
                  <c:v>0.83200000000000007</c:v>
                </c:pt>
                <c:pt idx="1">
                  <c:v>0.16799999999999993</c:v>
                </c:pt>
              </c:numCache>
            </c:numRef>
          </c:val>
          <c:extLst>
            <c:ext xmlns:c16="http://schemas.microsoft.com/office/drawing/2014/chart" uri="{C3380CC4-5D6E-409C-BE32-E72D297353CC}">
              <c16:uniqueId val="{00000004-32B2-4F49-8441-EC9AE9BCBCE4}"/>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3. Power (AnT)</a:t>
            </a:r>
            <a:endParaRPr lang="en-US" b="1">
              <a:solidFill>
                <a:schemeClr val="accent1"/>
              </a:solidFill>
            </a:endParaRPr>
          </a:p>
        </c:rich>
      </c:tx>
      <c:layout>
        <c:manualLayout>
          <c:xMode val="edge"/>
          <c:yMode val="edge"/>
          <c:x val="0.35040444444444446"/>
          <c:y val="5.5207575757575761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27786562176786417"/>
          <c:y val="0.19574427816170295"/>
          <c:w val="0.44788632737649486"/>
          <c:h val="0.7914703346298253"/>
        </c:manualLayout>
      </c:layout>
      <c:doughnutChart>
        <c:varyColors val="1"/>
        <c:ser>
          <c:idx val="0"/>
          <c:order val="0"/>
          <c:dPt>
            <c:idx val="0"/>
            <c:bubble3D val="0"/>
            <c:spPr>
              <a:solidFill>
                <a:srgbClr val="55BDBA"/>
              </a:solidFill>
              <a:ln w="19050">
                <a:solidFill>
                  <a:schemeClr val="lt1"/>
                </a:solidFill>
              </a:ln>
              <a:effectLst/>
            </c:spPr>
            <c:extLst>
              <c:ext xmlns:c16="http://schemas.microsoft.com/office/drawing/2014/chart" uri="{C3380CC4-5D6E-409C-BE32-E72D297353CC}">
                <c16:uniqueId val="{00000001-B65B-4BB2-A2C6-262003331B8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B65B-4BB2-A2C6-262003331B82}"/>
              </c:ext>
            </c:extLst>
          </c:dPt>
          <c:dLbls>
            <c:dLbl>
              <c:idx val="1"/>
              <c:delete val="1"/>
              <c:extLst>
                <c:ext xmlns:c15="http://schemas.microsoft.com/office/drawing/2012/chart" uri="{CE6537A1-D6FC-4f65-9D91-7224C49458BB}"/>
                <c:ext xmlns:c16="http://schemas.microsoft.com/office/drawing/2014/chart" uri="{C3380CC4-5D6E-409C-BE32-E72D297353CC}">
                  <c16:uniqueId val="{00000003-B65B-4BB2-A2C6-262003331B82}"/>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Profile!$H$13:$H$14</c:f>
              <c:numCache>
                <c:formatCode>0%</c:formatCode>
                <c:ptCount val="2"/>
                <c:pt idx="0">
                  <c:v>0.75</c:v>
                </c:pt>
                <c:pt idx="1">
                  <c:v>0.25</c:v>
                </c:pt>
              </c:numCache>
            </c:numRef>
          </c:val>
          <c:extLst>
            <c:ext xmlns:c16="http://schemas.microsoft.com/office/drawing/2014/chart" uri="{C3380CC4-5D6E-409C-BE32-E72D297353CC}">
              <c16:uniqueId val="{00000004-B65B-4BB2-A2C6-262003331B82}"/>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7. Watts/Kg</a:t>
            </a:r>
            <a:endParaRPr lang="en-US" b="1">
              <a:solidFill>
                <a:schemeClr val="accent1"/>
              </a:solidFill>
            </a:endParaRPr>
          </a:p>
        </c:rich>
      </c:tx>
      <c:layout>
        <c:manualLayout>
          <c:xMode val="edge"/>
          <c:yMode val="edge"/>
          <c:x val="0.35037825699304298"/>
          <c:y val="6.1433266033979327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27786562176786417"/>
          <c:y val="0.19574427816170295"/>
          <c:w val="0.44788632737649486"/>
          <c:h val="0.791470334629825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23-4A51-9335-4C4ECC2F1449}"/>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A23-4A51-9335-4C4ECC2F1449}"/>
              </c:ext>
            </c:extLst>
          </c:dPt>
          <c:dLbls>
            <c:dLbl>
              <c:idx val="1"/>
              <c:delete val="1"/>
              <c:extLst>
                <c:ext xmlns:c15="http://schemas.microsoft.com/office/drawing/2012/chart" uri="{CE6537A1-D6FC-4f65-9D91-7224C49458BB}"/>
                <c:ext xmlns:c16="http://schemas.microsoft.com/office/drawing/2014/chart" uri="{C3380CC4-5D6E-409C-BE32-E72D297353CC}">
                  <c16:uniqueId val="{00000003-DA23-4A51-9335-4C4ECC2F1449}"/>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Profile!$L$13:$L$14</c:f>
              <c:numCache>
                <c:formatCode>0%</c:formatCode>
                <c:ptCount val="2"/>
                <c:pt idx="0">
                  <c:v>0.65543071161048683</c:v>
                </c:pt>
                <c:pt idx="1">
                  <c:v>0.34456928838951317</c:v>
                </c:pt>
              </c:numCache>
            </c:numRef>
          </c:val>
          <c:extLst>
            <c:ext xmlns:c16="http://schemas.microsoft.com/office/drawing/2014/chart" uri="{C3380CC4-5D6E-409C-BE32-E72D297353CC}">
              <c16:uniqueId val="{00000004-DA23-4A51-9335-4C4ECC2F1449}"/>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6. Fractional Utilisation</a:t>
            </a:r>
            <a:endParaRPr lang="en-US" b="1">
              <a:solidFill>
                <a:schemeClr val="accent1"/>
              </a:solidFill>
            </a:endParaRPr>
          </a:p>
        </c:rich>
      </c:tx>
      <c:layout>
        <c:manualLayout>
          <c:xMode val="edge"/>
          <c:yMode val="edge"/>
          <c:x val="0.24104336024815665"/>
          <c:y val="4.8793366498157943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27786562176786417"/>
          <c:y val="0.19574427816170295"/>
          <c:w val="0.44788632737649486"/>
          <c:h val="0.7914703346298253"/>
        </c:manualLayout>
      </c:layout>
      <c:doughnutChart>
        <c:varyColors val="1"/>
        <c:ser>
          <c:idx val="0"/>
          <c:order val="0"/>
          <c:spPr>
            <a:solidFill>
              <a:srgbClr val="B0DFDB"/>
            </a:solidFill>
          </c:spPr>
          <c:dPt>
            <c:idx val="0"/>
            <c:bubble3D val="0"/>
            <c:spPr>
              <a:solidFill>
                <a:srgbClr val="B0DFDB"/>
              </a:solidFill>
              <a:ln w="19050">
                <a:solidFill>
                  <a:schemeClr val="lt1"/>
                </a:solidFill>
              </a:ln>
              <a:effectLst/>
            </c:spPr>
            <c:extLst>
              <c:ext xmlns:c16="http://schemas.microsoft.com/office/drawing/2014/chart" uri="{C3380CC4-5D6E-409C-BE32-E72D297353CC}">
                <c16:uniqueId val="{00000001-30F9-4863-902D-5B542F7ACFAC}"/>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30F9-4863-902D-5B542F7ACFA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Profile!$K$13:$K$14</c:f>
              <c:numCache>
                <c:formatCode>0%</c:formatCode>
                <c:ptCount val="2"/>
                <c:pt idx="0">
                  <c:v>0.79617224880382775</c:v>
                </c:pt>
                <c:pt idx="1">
                  <c:v>0.20382775119617225</c:v>
                </c:pt>
              </c:numCache>
            </c:numRef>
          </c:val>
          <c:extLst>
            <c:ext xmlns:c16="http://schemas.microsoft.com/office/drawing/2014/chart" uri="{C3380CC4-5D6E-409C-BE32-E72D297353CC}">
              <c16:uniqueId val="{00000004-30F9-4863-902D-5B542F7ACFAC}"/>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5. Power</a:t>
            </a:r>
            <a:r>
              <a:rPr lang="en-US" b="1" baseline="0">
                <a:solidFill>
                  <a:schemeClr val="dk1"/>
                </a:solidFill>
                <a:latin typeface="+mn-lt"/>
                <a:ea typeface="+mn-ea"/>
                <a:cs typeface="+mn-cs"/>
              </a:rPr>
              <a:t> (V</a:t>
            </a:r>
            <a:r>
              <a:rPr lang="en-US" b="1">
                <a:solidFill>
                  <a:schemeClr val="dk1"/>
                </a:solidFill>
                <a:latin typeface="+mn-lt"/>
                <a:ea typeface="+mn-ea"/>
                <a:cs typeface="+mn-cs"/>
              </a:rPr>
              <a:t>O2</a:t>
            </a:r>
            <a:r>
              <a:rPr lang="en-US" b="1" baseline="0">
                <a:solidFill>
                  <a:schemeClr val="dk1"/>
                </a:solidFill>
                <a:latin typeface="+mn-lt"/>
                <a:ea typeface="+mn-ea"/>
                <a:cs typeface="+mn-cs"/>
              </a:rPr>
              <a:t>Max)</a:t>
            </a:r>
            <a:endParaRPr lang="en-US" b="1">
              <a:solidFill>
                <a:schemeClr val="accent1"/>
              </a:solidFill>
            </a:endParaRPr>
          </a:p>
        </c:rich>
      </c:tx>
      <c:layout>
        <c:manualLayout>
          <c:xMode val="edge"/>
          <c:yMode val="edge"/>
          <c:x val="0.28199585398028976"/>
          <c:y val="5.5077030566986214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27786562176786417"/>
          <c:y val="0.19574427816170295"/>
          <c:w val="0.44788632737649486"/>
          <c:h val="0.7914703346298253"/>
        </c:manualLayout>
      </c:layout>
      <c:doughnutChart>
        <c:varyColors val="1"/>
        <c:ser>
          <c:idx val="0"/>
          <c:order val="0"/>
          <c:spPr>
            <a:solidFill>
              <a:schemeClr val="bg1">
                <a:lumMod val="85000"/>
              </a:schemeClr>
            </a:solidFill>
          </c:spPr>
          <c:dPt>
            <c:idx val="0"/>
            <c:bubble3D val="0"/>
            <c:spPr>
              <a:solidFill>
                <a:srgbClr val="557F8C"/>
              </a:solidFill>
              <a:ln w="19050">
                <a:solidFill>
                  <a:schemeClr val="lt1"/>
                </a:solidFill>
              </a:ln>
              <a:effectLst/>
            </c:spPr>
            <c:extLst>
              <c:ext xmlns:c16="http://schemas.microsoft.com/office/drawing/2014/chart" uri="{C3380CC4-5D6E-409C-BE32-E72D297353CC}">
                <c16:uniqueId val="{00000001-4676-8E46-AF93-28FD091A3571}"/>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4676-8E46-AF93-28FD091A3571}"/>
              </c:ext>
            </c:extLst>
          </c:dPt>
          <c:dLbls>
            <c:dLbl>
              <c:idx val="1"/>
              <c:delete val="1"/>
              <c:extLst>
                <c:ext xmlns:c15="http://schemas.microsoft.com/office/drawing/2012/chart" uri="{CE6537A1-D6FC-4f65-9D91-7224C49458BB}"/>
                <c:ext xmlns:c16="http://schemas.microsoft.com/office/drawing/2014/chart" uri="{C3380CC4-5D6E-409C-BE32-E72D297353CC}">
                  <c16:uniqueId val="{00000003-4676-8E46-AF93-28FD091A3571}"/>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Profile!$J$13:$J$14</c:f>
              <c:numCache>
                <c:formatCode>0%</c:formatCode>
                <c:ptCount val="2"/>
                <c:pt idx="0">
                  <c:v>0.875</c:v>
                </c:pt>
                <c:pt idx="1">
                  <c:v>0.125</c:v>
                </c:pt>
              </c:numCache>
            </c:numRef>
          </c:val>
          <c:extLst>
            <c:ext xmlns:c16="http://schemas.microsoft.com/office/drawing/2014/chart" uri="{C3380CC4-5D6E-409C-BE32-E72D297353CC}">
              <c16:uniqueId val="{00000004-4676-8E46-AF93-28FD091A3571}"/>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6" fmlaLink="$D$7" horiz="1" inc="5" max="500" page="10" val="210"/>
</file>

<file path=xl/ctrlProps/ctrlProp10.xml><?xml version="1.0" encoding="utf-8"?>
<formControlPr xmlns="http://schemas.microsoft.com/office/spreadsheetml/2009/9/main" objectType="Scroll" dx="16" fmlaLink="$H$16" horiz="1" inc="5" max="500" page="10" val="275"/>
</file>

<file path=xl/ctrlProps/ctrlProp11.xml><?xml version="1.0" encoding="utf-8"?>
<formControlPr xmlns="http://schemas.microsoft.com/office/spreadsheetml/2009/9/main" objectType="Scroll" dx="16" fmlaLink="$D$33" horiz="1" inc="5" max="500" page="10" val="40"/>
</file>

<file path=xl/ctrlProps/ctrlProp12.xml><?xml version="1.0" encoding="utf-8"?>
<formControlPr xmlns="http://schemas.microsoft.com/office/spreadsheetml/2009/9/main" objectType="Scroll" dx="16" fmlaLink="$E$33" horiz="1" inc="5" max="500" page="10" val="10"/>
</file>

<file path=xl/ctrlProps/ctrlProp13.xml><?xml version="1.0" encoding="utf-8"?>
<formControlPr xmlns="http://schemas.microsoft.com/office/spreadsheetml/2009/9/main" objectType="Scroll" dx="16" fmlaLink="$F$33" horiz="1" inc="5" max="500" page="10" val="70"/>
</file>

<file path=xl/ctrlProps/ctrlProp14.xml><?xml version="1.0" encoding="utf-8"?>
<formControlPr xmlns="http://schemas.microsoft.com/office/spreadsheetml/2009/9/main" objectType="Scroll" dx="16" fmlaLink="$G$33" horiz="1" inc="5" max="500" page="10" val="5"/>
</file>

<file path=xl/ctrlProps/ctrlProp15.xml><?xml version="1.0" encoding="utf-8"?>
<formControlPr xmlns="http://schemas.microsoft.com/office/spreadsheetml/2009/9/main" objectType="Scroll" dx="16" fmlaLink="$H$33" horiz="1" max="500" page="10" val="270"/>
</file>

<file path=xl/ctrlProps/ctrlProp16.xml><?xml version="1.0" encoding="utf-8"?>
<formControlPr xmlns="http://schemas.microsoft.com/office/spreadsheetml/2009/9/main" objectType="Scroll" dx="16" fmlaLink="$D$42" horiz="1" inc="5" max="500" page="10" val="5"/>
</file>

<file path=xl/ctrlProps/ctrlProp17.xml><?xml version="1.0" encoding="utf-8"?>
<formControlPr xmlns="http://schemas.microsoft.com/office/spreadsheetml/2009/9/main" objectType="Scroll" dx="16" fmlaLink="$E$42" horiz="1" inc="5" max="500" page="10" val="5"/>
</file>

<file path=xl/ctrlProps/ctrlProp18.xml><?xml version="1.0" encoding="utf-8"?>
<formControlPr xmlns="http://schemas.microsoft.com/office/spreadsheetml/2009/9/main" objectType="Scroll" dx="16" fmlaLink="$F$42" horiz="1" inc="5" max="500" page="10" val="40"/>
</file>

<file path=xl/ctrlProps/ctrlProp19.xml><?xml version="1.0" encoding="utf-8"?>
<formControlPr xmlns="http://schemas.microsoft.com/office/spreadsheetml/2009/9/main" objectType="Scroll" dx="16" fmlaLink="$G$42" horiz="1" inc="5" max="500" page="10" val="5"/>
</file>

<file path=xl/ctrlProps/ctrlProp2.xml><?xml version="1.0" encoding="utf-8"?>
<formControlPr xmlns="http://schemas.microsoft.com/office/spreadsheetml/2009/9/main" objectType="Scroll" dx="16" fmlaLink="$E$7" horiz="1" inc="5" max="500" page="10" val="125"/>
</file>

<file path=xl/ctrlProps/ctrlProp20.xml><?xml version="1.0" encoding="utf-8"?>
<formControlPr xmlns="http://schemas.microsoft.com/office/spreadsheetml/2009/9/main" objectType="Scroll" dx="16" fmlaLink="$H$42" horiz="1" inc="5" max="500" page="10" val="100"/>
</file>

<file path=xl/ctrlProps/ctrlProp21.xml><?xml version="1.0" encoding="utf-8"?>
<formControlPr xmlns="http://schemas.microsoft.com/office/spreadsheetml/2009/9/main" objectType="Scroll" dx="16" fmlaLink="$D$59" horiz="1" inc="5" max="500" page="10" val="30"/>
</file>

<file path=xl/ctrlProps/ctrlProp22.xml><?xml version="1.0" encoding="utf-8"?>
<formControlPr xmlns="http://schemas.microsoft.com/office/spreadsheetml/2009/9/main" objectType="Scroll" dx="16" fmlaLink="$E$59" horiz="1" inc="5" max="500" page="10" val="70"/>
</file>

<file path=xl/ctrlProps/ctrlProp23.xml><?xml version="1.0" encoding="utf-8"?>
<formControlPr xmlns="http://schemas.microsoft.com/office/spreadsheetml/2009/9/main" objectType="Scroll" dx="16" fmlaLink="$F$59" horiz="1" inc="5" max="500" page="10" val="30"/>
</file>

<file path=xl/ctrlProps/ctrlProp24.xml><?xml version="1.0" encoding="utf-8"?>
<formControlPr xmlns="http://schemas.microsoft.com/office/spreadsheetml/2009/9/main" objectType="Scroll" dx="16" fmlaLink="$G$59" horiz="1" inc="5" max="500" page="10" val="0"/>
</file>

<file path=xl/ctrlProps/ctrlProp25.xml><?xml version="1.0" encoding="utf-8"?>
<formControlPr xmlns="http://schemas.microsoft.com/office/spreadsheetml/2009/9/main" objectType="Scroll" dx="16" fmlaLink="$H$59" horiz="1" inc="5" max="500" page="10" val="395"/>
</file>

<file path=xl/ctrlProps/ctrlProp26.xml><?xml version="1.0" encoding="utf-8"?>
<formControlPr xmlns="http://schemas.microsoft.com/office/spreadsheetml/2009/9/main" objectType="Scroll" dx="16" fmlaLink="$D$68" horiz="1" inc="5" max="500" page="10" val="45"/>
</file>

<file path=xl/ctrlProps/ctrlProp27.xml><?xml version="1.0" encoding="utf-8"?>
<formControlPr xmlns="http://schemas.microsoft.com/office/spreadsheetml/2009/9/main" objectType="Scroll" dx="16" fmlaLink="$E$68" horiz="1" inc="5" max="500" page="10" val="75"/>
</file>

<file path=xl/ctrlProps/ctrlProp28.xml><?xml version="1.0" encoding="utf-8"?>
<formControlPr xmlns="http://schemas.microsoft.com/office/spreadsheetml/2009/9/main" objectType="Scroll" dx="16" fmlaLink="$F$68" horiz="1" inc="5" max="500" page="10" val="40"/>
</file>

<file path=xl/ctrlProps/ctrlProp29.xml><?xml version="1.0" encoding="utf-8"?>
<formControlPr xmlns="http://schemas.microsoft.com/office/spreadsheetml/2009/9/main" objectType="Scroll" dx="16" fmlaLink="$G$68" horiz="1" inc="5" max="500" page="10" val="20"/>
</file>

<file path=xl/ctrlProps/ctrlProp3.xml><?xml version="1.0" encoding="utf-8"?>
<formControlPr xmlns="http://schemas.microsoft.com/office/spreadsheetml/2009/9/main" objectType="Scroll" dx="16" fmlaLink="$F$7" horiz="1" inc="5" max="500" page="10" val="10"/>
</file>

<file path=xl/ctrlProps/ctrlProp30.xml><?xml version="1.0" encoding="utf-8"?>
<formControlPr xmlns="http://schemas.microsoft.com/office/spreadsheetml/2009/9/main" objectType="Scroll" dx="16" fmlaLink="$H$68" horiz="1" inc="5" max="500" page="10" val="20"/>
</file>

<file path=xl/ctrlProps/ctrlProp31.xml><?xml version="1.0" encoding="utf-8"?>
<formControlPr xmlns="http://schemas.microsoft.com/office/spreadsheetml/2009/9/main" objectType="Scroll" dx="16" fmlaLink="$D$85" horiz="1" inc="5" max="500" page="10" val="20"/>
</file>

<file path=xl/ctrlProps/ctrlProp32.xml><?xml version="1.0" encoding="utf-8"?>
<formControlPr xmlns="http://schemas.microsoft.com/office/spreadsheetml/2009/9/main" objectType="Scroll" dx="16" fmlaLink="$E$85" horiz="1" inc="5" max="500" page="10" val="0"/>
</file>

<file path=xl/ctrlProps/ctrlProp33.xml><?xml version="1.0" encoding="utf-8"?>
<formControlPr xmlns="http://schemas.microsoft.com/office/spreadsheetml/2009/9/main" objectType="Scroll" dx="16" fmlaLink="$F$85" horiz="1" inc="5" max="500" page="10" val="20"/>
</file>

<file path=xl/ctrlProps/ctrlProp34.xml><?xml version="1.0" encoding="utf-8"?>
<formControlPr xmlns="http://schemas.microsoft.com/office/spreadsheetml/2009/9/main" objectType="Scroll" dx="16" fmlaLink="$G$85" horiz="1" inc="5" max="500" page="10" val="0"/>
</file>

<file path=xl/ctrlProps/ctrlProp35.xml><?xml version="1.0" encoding="utf-8"?>
<formControlPr xmlns="http://schemas.microsoft.com/office/spreadsheetml/2009/9/main" objectType="Scroll" dx="16" fmlaLink="$H$85" horiz="1" inc="5" max="500" page="10" val="30"/>
</file>

<file path=xl/ctrlProps/ctrlProp36.xml><?xml version="1.0" encoding="utf-8"?>
<formControlPr xmlns="http://schemas.microsoft.com/office/spreadsheetml/2009/9/main" objectType="Scroll" dx="16" fmlaLink="$D$94" horiz="1" inc="5" max="500" page="10" val="65"/>
</file>

<file path=xl/ctrlProps/ctrlProp37.xml><?xml version="1.0" encoding="utf-8"?>
<formControlPr xmlns="http://schemas.microsoft.com/office/spreadsheetml/2009/9/main" objectType="Scroll" dx="16" fmlaLink="$E$94" horiz="1" inc="5" max="500" page="10" val="0"/>
</file>

<file path=xl/ctrlProps/ctrlProp38.xml><?xml version="1.0" encoding="utf-8"?>
<formControlPr xmlns="http://schemas.microsoft.com/office/spreadsheetml/2009/9/main" objectType="Scroll" dx="16" fmlaLink="$F$94" horiz="1" inc="5" max="500" page="10" val="30"/>
</file>

<file path=xl/ctrlProps/ctrlProp39.xml><?xml version="1.0" encoding="utf-8"?>
<formControlPr xmlns="http://schemas.microsoft.com/office/spreadsheetml/2009/9/main" objectType="Scroll" dx="16" fmlaLink="$G$94" horiz="1" inc="5" max="500" page="10" val="0"/>
</file>

<file path=xl/ctrlProps/ctrlProp4.xml><?xml version="1.0" encoding="utf-8"?>
<formControlPr xmlns="http://schemas.microsoft.com/office/spreadsheetml/2009/9/main" objectType="Scroll" dx="16" fmlaLink="$G$7" horiz="1" inc="5" max="500" page="10" val="50"/>
</file>

<file path=xl/ctrlProps/ctrlProp40.xml><?xml version="1.0" encoding="utf-8"?>
<formControlPr xmlns="http://schemas.microsoft.com/office/spreadsheetml/2009/9/main" objectType="Scroll" dx="16" fmlaLink="$H$94" horiz="1" inc="5" max="500" page="10" val="60"/>
</file>

<file path=xl/ctrlProps/ctrlProp41.xml><?xml version="1.0" encoding="utf-8"?>
<formControlPr xmlns="http://schemas.microsoft.com/office/spreadsheetml/2009/9/main" objectType="Scroll" dx="16" fmlaLink="$D$111" horiz="1" inc="5" max="500" page="10" val="5"/>
</file>

<file path=xl/ctrlProps/ctrlProp42.xml><?xml version="1.0" encoding="utf-8"?>
<formControlPr xmlns="http://schemas.microsoft.com/office/spreadsheetml/2009/9/main" objectType="Scroll" dx="16" fmlaLink="$E$111" horiz="1" inc="5" max="500" page="10" val="30"/>
</file>

<file path=xl/ctrlProps/ctrlProp43.xml><?xml version="1.0" encoding="utf-8"?>
<formControlPr xmlns="http://schemas.microsoft.com/office/spreadsheetml/2009/9/main" objectType="Scroll" dx="16" fmlaLink="$F$111" horiz="1" inc="5" max="500" page="10" val="15"/>
</file>

<file path=xl/ctrlProps/ctrlProp44.xml><?xml version="1.0" encoding="utf-8"?>
<formControlPr xmlns="http://schemas.microsoft.com/office/spreadsheetml/2009/9/main" objectType="Scroll" dx="16" fmlaLink="$G$111" horiz="1" inc="5" max="500" page="10" val="20"/>
</file>

<file path=xl/ctrlProps/ctrlProp45.xml><?xml version="1.0" encoding="utf-8"?>
<formControlPr xmlns="http://schemas.microsoft.com/office/spreadsheetml/2009/9/main" objectType="Scroll" dx="16" fmlaLink="$H$111" horiz="1" inc="5" max="500" page="10" val="50"/>
</file>

<file path=xl/ctrlProps/ctrlProp46.xml><?xml version="1.0" encoding="utf-8"?>
<formControlPr xmlns="http://schemas.microsoft.com/office/spreadsheetml/2009/9/main" objectType="Scroll" dx="16" fmlaLink="$D$120" horiz="1" inc="5" max="500" page="10" val="20"/>
</file>

<file path=xl/ctrlProps/ctrlProp47.xml><?xml version="1.0" encoding="utf-8"?>
<formControlPr xmlns="http://schemas.microsoft.com/office/spreadsheetml/2009/9/main" objectType="Scroll" dx="16" fmlaLink="$E$120" horiz="1" inc="5" max="500" page="10" val="30"/>
</file>

<file path=xl/ctrlProps/ctrlProp48.xml><?xml version="1.0" encoding="utf-8"?>
<formControlPr xmlns="http://schemas.microsoft.com/office/spreadsheetml/2009/9/main" objectType="Scroll" dx="16" fmlaLink="$F$120" horiz="1" inc="5" max="500" page="10" val="15"/>
</file>

<file path=xl/ctrlProps/ctrlProp49.xml><?xml version="1.0" encoding="utf-8"?>
<formControlPr xmlns="http://schemas.microsoft.com/office/spreadsheetml/2009/9/main" objectType="Scroll" dx="16" fmlaLink="$G$120" horiz="1" inc="5" max="500" page="10" val="20"/>
</file>

<file path=xl/ctrlProps/ctrlProp5.xml><?xml version="1.0" encoding="utf-8"?>
<formControlPr xmlns="http://schemas.microsoft.com/office/spreadsheetml/2009/9/main" objectType="Scroll" dx="16" fmlaLink="$D$16" horiz="1" inc="5" max="500" page="10" val="150"/>
</file>

<file path=xl/ctrlProps/ctrlProp50.xml><?xml version="1.0" encoding="utf-8"?>
<formControlPr xmlns="http://schemas.microsoft.com/office/spreadsheetml/2009/9/main" objectType="Scroll" dx="16" fmlaLink="$H$120" horiz="1" inc="5" max="500" page="10" val="40"/>
</file>

<file path=xl/ctrlProps/ctrlProp51.xml><?xml version="1.0" encoding="utf-8"?>
<formControlPr xmlns="http://schemas.microsoft.com/office/spreadsheetml/2009/9/main" objectType="Scroll" dx="16" fmlaLink="$D$137" horiz="1" inc="5" max="500" page="10" val="70"/>
</file>

<file path=xl/ctrlProps/ctrlProp52.xml><?xml version="1.0" encoding="utf-8"?>
<formControlPr xmlns="http://schemas.microsoft.com/office/spreadsheetml/2009/9/main" objectType="Scroll" dx="16" fmlaLink="$E$137" horiz="1" inc="5" max="500" page="10" val="10"/>
</file>

<file path=xl/ctrlProps/ctrlProp53.xml><?xml version="1.0" encoding="utf-8"?>
<formControlPr xmlns="http://schemas.microsoft.com/office/spreadsheetml/2009/9/main" objectType="Scroll" dx="16" fmlaLink="$F$137" horiz="1" inc="5" max="500" page="10" val="10"/>
</file>

<file path=xl/ctrlProps/ctrlProp54.xml><?xml version="1.0" encoding="utf-8"?>
<formControlPr xmlns="http://schemas.microsoft.com/office/spreadsheetml/2009/9/main" objectType="Scroll" dx="16" fmlaLink="$G$137" horiz="1" inc="5" max="500" page="10" val="10"/>
</file>

<file path=xl/ctrlProps/ctrlProp55.xml><?xml version="1.0" encoding="utf-8"?>
<formControlPr xmlns="http://schemas.microsoft.com/office/spreadsheetml/2009/9/main" objectType="Scroll" dx="16" fmlaLink="$H$137" horiz="1" inc="5" max="500" page="10" val="10"/>
</file>

<file path=xl/ctrlProps/ctrlProp56.xml><?xml version="1.0" encoding="utf-8"?>
<formControlPr xmlns="http://schemas.microsoft.com/office/spreadsheetml/2009/9/main" objectType="Scroll" dx="16" fmlaLink="$D$146" horiz="1" inc="5" max="500" page="10" val="185"/>
</file>

<file path=xl/ctrlProps/ctrlProp57.xml><?xml version="1.0" encoding="utf-8"?>
<formControlPr xmlns="http://schemas.microsoft.com/office/spreadsheetml/2009/9/main" objectType="Scroll" dx="16" fmlaLink="$E$146" horiz="1" inc="5" max="500" page="10" val="65"/>
</file>

<file path=xl/ctrlProps/ctrlProp58.xml><?xml version="1.0" encoding="utf-8"?>
<formControlPr xmlns="http://schemas.microsoft.com/office/spreadsheetml/2009/9/main" objectType="Scroll" dx="16" fmlaLink="$F$146" horiz="1" inc="5" max="500" page="10" val="40"/>
</file>

<file path=xl/ctrlProps/ctrlProp59.xml><?xml version="1.0" encoding="utf-8"?>
<formControlPr xmlns="http://schemas.microsoft.com/office/spreadsheetml/2009/9/main" objectType="Scroll" dx="16" fmlaLink="$G$146" horiz="1" inc="5" max="500" page="10" val="90"/>
</file>

<file path=xl/ctrlProps/ctrlProp6.xml><?xml version="1.0" encoding="utf-8"?>
<formControlPr xmlns="http://schemas.microsoft.com/office/spreadsheetml/2009/9/main" objectType="Scroll" dx="16" fmlaLink="$E$16" horiz="1" inc="5" max="500" page="10" val="275"/>
</file>

<file path=xl/ctrlProps/ctrlProp60.xml><?xml version="1.0" encoding="utf-8"?>
<formControlPr xmlns="http://schemas.microsoft.com/office/spreadsheetml/2009/9/main" objectType="Scroll" dx="16" fmlaLink="$H$146" horiz="1" inc="5" max="500" page="10" val="25"/>
</file>

<file path=xl/ctrlProps/ctrlProp7.xml><?xml version="1.0" encoding="utf-8"?>
<formControlPr xmlns="http://schemas.microsoft.com/office/spreadsheetml/2009/9/main" objectType="Scroll" dx="16" fmlaLink="$F$16" horiz="1" inc="5" max="500" page="10" val="85"/>
</file>

<file path=xl/ctrlProps/ctrlProp8.xml><?xml version="1.0" encoding="utf-8"?>
<formControlPr xmlns="http://schemas.microsoft.com/office/spreadsheetml/2009/9/main" objectType="Scroll" dx="16" fmlaLink="$G$16" horiz="1" inc="5" max="500" page="10" val="85"/>
</file>

<file path=xl/ctrlProps/ctrlProp9.xml><?xml version="1.0" encoding="utf-8"?>
<formControlPr xmlns="http://schemas.microsoft.com/office/spreadsheetml/2009/9/main" objectType="Scroll" dx="16" fmlaLink="$H$7" horiz="1" inc="5" max="500" page="10" val="260"/>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10.svg"/><Relationship Id="rId18" Type="http://schemas.openxmlformats.org/officeDocument/2006/relationships/chart" Target="../charts/chart8.xml"/><Relationship Id="rId26" Type="http://schemas.openxmlformats.org/officeDocument/2006/relationships/chart" Target="../charts/chart9.xml"/><Relationship Id="rId3" Type="http://schemas.openxmlformats.org/officeDocument/2006/relationships/image" Target="../media/image3.png"/><Relationship Id="rId21" Type="http://schemas.openxmlformats.org/officeDocument/2006/relationships/hyperlink" Target="https://docs.google.com/document/d/13z_WGPrHCBZ-c6C1H9oEPrMq0wp70wA7CcKoHKIhfug/edit?usp=sharing" TargetMode="External"/><Relationship Id="rId7" Type="http://schemas.openxmlformats.org/officeDocument/2006/relationships/image" Target="../media/image6.svg"/><Relationship Id="rId12" Type="http://schemas.openxmlformats.org/officeDocument/2006/relationships/image" Target="../media/image9.png"/><Relationship Id="rId17" Type="http://schemas.openxmlformats.org/officeDocument/2006/relationships/chart" Target="../charts/chart7.xml"/><Relationship Id="rId25" Type="http://schemas.openxmlformats.org/officeDocument/2006/relationships/image" Target="../media/image17.svg"/><Relationship Id="rId2" Type="http://schemas.openxmlformats.org/officeDocument/2006/relationships/chart" Target="../charts/chart2.xml"/><Relationship Id="rId16" Type="http://schemas.openxmlformats.org/officeDocument/2006/relationships/image" Target="../media/image12.svg"/><Relationship Id="rId20" Type="http://schemas.openxmlformats.org/officeDocument/2006/relationships/image" Target="../media/image14.svg"/><Relationship Id="rId1" Type="http://schemas.openxmlformats.org/officeDocument/2006/relationships/image" Target="../media/image2.png"/><Relationship Id="rId6" Type="http://schemas.openxmlformats.org/officeDocument/2006/relationships/image" Target="../media/image5.png"/><Relationship Id="rId11" Type="http://schemas.openxmlformats.org/officeDocument/2006/relationships/chart" Target="../charts/chart5.xml"/><Relationship Id="rId24" Type="http://schemas.openxmlformats.org/officeDocument/2006/relationships/image" Target="../media/image16.png"/><Relationship Id="rId5" Type="http://schemas.openxmlformats.org/officeDocument/2006/relationships/chart" Target="../charts/chart3.xml"/><Relationship Id="rId15" Type="http://schemas.openxmlformats.org/officeDocument/2006/relationships/image" Target="../media/image11.png"/><Relationship Id="rId23" Type="http://schemas.openxmlformats.org/officeDocument/2006/relationships/hyperlink" Target="https://drive.google.com/file/d/1cNNHN1NFdGBqsYqThWSTHj_wN5vSVtwa/view?usp=sharing" TargetMode="External"/><Relationship Id="rId10" Type="http://schemas.openxmlformats.org/officeDocument/2006/relationships/image" Target="../media/image8.svg"/><Relationship Id="rId19" Type="http://schemas.openxmlformats.org/officeDocument/2006/relationships/image" Target="../media/image13.png"/><Relationship Id="rId4" Type="http://schemas.openxmlformats.org/officeDocument/2006/relationships/image" Target="../media/image4.svg"/><Relationship Id="rId9" Type="http://schemas.openxmlformats.org/officeDocument/2006/relationships/image" Target="../media/image7.png"/><Relationship Id="rId14" Type="http://schemas.openxmlformats.org/officeDocument/2006/relationships/chart" Target="../charts/chart6.xml"/><Relationship Id="rId22"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xdr:from>
      <xdr:col>787</xdr:col>
      <xdr:colOff>114300</xdr:colOff>
      <xdr:row>717</xdr:row>
      <xdr:rowOff>114300</xdr:rowOff>
    </xdr:from>
    <xdr:to>
      <xdr:col>789</xdr:col>
      <xdr:colOff>514913</xdr:colOff>
      <xdr:row>730</xdr:row>
      <xdr:rowOff>195167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40720" y="1561748"/>
          <a:ext cx="1755280" cy="3015978"/>
        </a:xfrm>
        <a:prstGeom prst="rect">
          <a:avLst/>
        </a:prstGeom>
        <a:ln>
          <a:noFill/>
        </a:ln>
        <a:effectLst>
          <a:outerShdw blurRad="107950" dist="12700" dir="5400000" algn="ctr">
            <a:srgbClr val="000000"/>
          </a:outerShdw>
          <a:softEdge rad="31750"/>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xdr:from>
      <xdr:col>803</xdr:col>
      <xdr:colOff>635000</xdr:colOff>
      <xdr:row>936</xdr:row>
      <xdr:rowOff>50800</xdr:rowOff>
    </xdr:from>
    <xdr:to>
      <xdr:col>806</xdr:col>
      <xdr:colOff>367243</xdr:colOff>
      <xdr:row>946</xdr:row>
      <xdr:rowOff>212372</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312238</xdr:colOff>
      <xdr:row>5</xdr:row>
      <xdr:rowOff>66969</xdr:rowOff>
    </xdr:from>
    <xdr:to>
      <xdr:col>4</xdr:col>
      <xdr:colOff>882717</xdr:colOff>
      <xdr:row>8</xdr:row>
      <xdr:rowOff>461047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91988" y="1368719"/>
          <a:ext cx="903854" cy="886203"/>
        </a:xfrm>
        <a:prstGeom prst="rect">
          <a:avLst/>
        </a:prstGeom>
      </xdr:spPr>
    </xdr:pic>
    <xdr:clientData/>
  </xdr:twoCellAnchor>
  <xdr:twoCellAnchor>
    <xdr:from>
      <xdr:col>5</xdr:col>
      <xdr:colOff>552508</xdr:colOff>
      <xdr:row>14</xdr:row>
      <xdr:rowOff>7855</xdr:rowOff>
    </xdr:from>
    <xdr:to>
      <xdr:col>8</xdr:col>
      <xdr:colOff>192828</xdr:colOff>
      <xdr:row>21</xdr:row>
      <xdr:rowOff>175360</xdr:rowOff>
    </xdr:to>
    <xdr:grpSp>
      <xdr:nvGrpSpPr>
        <xdr:cNvPr id="43" name="Group 42">
          <a:extLst>
            <a:ext uri="{FF2B5EF4-FFF2-40B4-BE49-F238E27FC236}">
              <a16:creationId xmlns:a16="http://schemas.microsoft.com/office/drawing/2014/main" id="{00000000-0008-0000-0100-00002B000000}"/>
            </a:ext>
          </a:extLst>
        </xdr:cNvPr>
        <xdr:cNvGrpSpPr/>
      </xdr:nvGrpSpPr>
      <xdr:grpSpPr>
        <a:xfrm>
          <a:off x="5595873" y="3915547"/>
          <a:ext cx="3596859" cy="2048082"/>
          <a:chOff x="10201611" y="2412999"/>
          <a:chExt cx="3160429" cy="2329595"/>
        </a:xfrm>
      </xdr:grpSpPr>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10201611" y="2412999"/>
          <a:ext cx="3160429" cy="2329595"/>
        </xdr:xfrm>
        <a:graphic>
          <a:graphicData uri="http://schemas.openxmlformats.org/drawingml/2006/chart">
            <c:chart xmlns:c="http://schemas.openxmlformats.org/drawingml/2006/chart" xmlns:r="http://schemas.openxmlformats.org/officeDocument/2006/relationships" r:id="rId2"/>
          </a:graphicData>
        </a:graphic>
      </xdr:graphicFrame>
      <xdr:pic>
        <xdr:nvPicPr>
          <xdr:cNvPr id="9" name="Graphic 8" descr="Lungs">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416197" y="3399184"/>
            <a:ext cx="773042" cy="773042"/>
          </a:xfrm>
          <a:prstGeom prst="rect">
            <a:avLst/>
          </a:prstGeom>
        </xdr:spPr>
      </xdr:pic>
    </xdr:grpSp>
    <xdr:clientData/>
  </xdr:twoCellAnchor>
  <xdr:twoCellAnchor>
    <xdr:from>
      <xdr:col>10</xdr:col>
      <xdr:colOff>573073</xdr:colOff>
      <xdr:row>14</xdr:row>
      <xdr:rowOff>54405</xdr:rowOff>
    </xdr:from>
    <xdr:to>
      <xdr:col>13</xdr:col>
      <xdr:colOff>323633</xdr:colOff>
      <xdr:row>21</xdr:row>
      <xdr:rowOff>189932</xdr:rowOff>
    </xdr:to>
    <xdr:grpSp>
      <xdr:nvGrpSpPr>
        <xdr:cNvPr id="48" name="Group 47">
          <a:extLst>
            <a:ext uri="{FF2B5EF4-FFF2-40B4-BE49-F238E27FC236}">
              <a16:creationId xmlns:a16="http://schemas.microsoft.com/office/drawing/2014/main" id="{00000000-0008-0000-0100-000030000000}"/>
            </a:ext>
          </a:extLst>
        </xdr:cNvPr>
        <xdr:cNvGrpSpPr/>
      </xdr:nvGrpSpPr>
      <xdr:grpSpPr>
        <a:xfrm>
          <a:off x="12210669" y="3962097"/>
          <a:ext cx="3707099" cy="2016104"/>
          <a:chOff x="5556296" y="2495597"/>
          <a:chExt cx="3260897" cy="2249043"/>
        </a:xfrm>
      </xdr:grpSpPr>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5556296" y="2495597"/>
          <a:ext cx="3260897" cy="2249043"/>
        </xdr:xfrm>
        <a:graphic>
          <a:graphicData uri="http://schemas.openxmlformats.org/drawingml/2006/chart">
            <c:chart xmlns:c="http://schemas.openxmlformats.org/drawingml/2006/chart" xmlns:r="http://schemas.openxmlformats.org/officeDocument/2006/relationships" r:id="rId5"/>
          </a:graphicData>
        </a:graphic>
      </xdr:graphicFrame>
      <xdr:pic>
        <xdr:nvPicPr>
          <xdr:cNvPr id="15" name="Graphic 14" descr="Heart organ">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796239" y="3467583"/>
            <a:ext cx="783589" cy="767769"/>
          </a:xfrm>
          <a:prstGeom prst="rect">
            <a:avLst/>
          </a:prstGeom>
        </xdr:spPr>
      </xdr:pic>
    </xdr:grpSp>
    <xdr:clientData/>
  </xdr:twoCellAnchor>
  <xdr:twoCellAnchor>
    <xdr:from>
      <xdr:col>8</xdr:col>
      <xdr:colOff>1047548</xdr:colOff>
      <xdr:row>22</xdr:row>
      <xdr:rowOff>129205</xdr:rowOff>
    </xdr:from>
    <xdr:to>
      <xdr:col>11</xdr:col>
      <xdr:colOff>669889</xdr:colOff>
      <xdr:row>33</xdr:row>
      <xdr:rowOff>13954</xdr:rowOff>
    </xdr:to>
    <xdr:grpSp>
      <xdr:nvGrpSpPr>
        <xdr:cNvPr id="42" name="Group 41">
          <a:extLst>
            <a:ext uri="{FF2B5EF4-FFF2-40B4-BE49-F238E27FC236}">
              <a16:creationId xmlns:a16="http://schemas.microsoft.com/office/drawing/2014/main" id="{00000000-0008-0000-0100-00002A000000}"/>
            </a:ext>
          </a:extLst>
        </xdr:cNvPr>
        <xdr:cNvGrpSpPr/>
      </xdr:nvGrpSpPr>
      <xdr:grpSpPr>
        <a:xfrm>
          <a:off x="10047452" y="6186128"/>
          <a:ext cx="3578879" cy="2180518"/>
          <a:chOff x="9007118" y="4928151"/>
          <a:chExt cx="3354470" cy="2456243"/>
        </a:xfrm>
      </xdr:grpSpPr>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9007118" y="4928151"/>
          <a:ext cx="3354470" cy="2456243"/>
        </xdr:xfrm>
        <a:graphic>
          <a:graphicData uri="http://schemas.openxmlformats.org/drawingml/2006/chart">
            <c:chart xmlns:c="http://schemas.openxmlformats.org/drawingml/2006/chart" xmlns:r="http://schemas.openxmlformats.org/officeDocument/2006/relationships" r:id="rId8"/>
          </a:graphicData>
        </a:graphic>
      </xdr:graphicFrame>
      <xdr:pic>
        <xdr:nvPicPr>
          <xdr:cNvPr id="21" name="Graphic 20" descr="Skeleton">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221868" y="5917120"/>
            <a:ext cx="914400" cy="914400"/>
          </a:xfrm>
          <a:prstGeom prst="rect">
            <a:avLst/>
          </a:prstGeom>
        </xdr:spPr>
      </xdr:pic>
    </xdr:grpSp>
    <xdr:clientData/>
  </xdr:twoCellAnchor>
  <xdr:twoCellAnchor>
    <xdr:from>
      <xdr:col>7</xdr:col>
      <xdr:colOff>169214</xdr:colOff>
      <xdr:row>14</xdr:row>
      <xdr:rowOff>13406</xdr:rowOff>
    </xdr:from>
    <xdr:to>
      <xdr:col>9</xdr:col>
      <xdr:colOff>977937</xdr:colOff>
      <xdr:row>22</xdr:row>
      <xdr:rowOff>22360</xdr:rowOff>
    </xdr:to>
    <xdr:grpSp>
      <xdr:nvGrpSpPr>
        <xdr:cNvPr id="44" name="Group 43">
          <a:extLst>
            <a:ext uri="{FF2B5EF4-FFF2-40B4-BE49-F238E27FC236}">
              <a16:creationId xmlns:a16="http://schemas.microsoft.com/office/drawing/2014/main" id="{00000000-0008-0000-0100-00002C000000}"/>
            </a:ext>
          </a:extLst>
        </xdr:cNvPr>
        <xdr:cNvGrpSpPr/>
      </xdr:nvGrpSpPr>
      <xdr:grpSpPr>
        <a:xfrm>
          <a:off x="7850272" y="3921098"/>
          <a:ext cx="3446415" cy="2158185"/>
          <a:chOff x="12505829" y="2402796"/>
          <a:chExt cx="3160431" cy="2329595"/>
        </a:xfrm>
      </xdr:grpSpPr>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12505829" y="2402796"/>
          <a:ext cx="3160431" cy="2329595"/>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33" name="Graphic 32" descr="Battery charging">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721521" y="3409672"/>
            <a:ext cx="790161" cy="790161"/>
          </a:xfrm>
          <a:prstGeom prst="rect">
            <a:avLst/>
          </a:prstGeom>
        </xdr:spPr>
      </xdr:pic>
    </xdr:grpSp>
    <xdr:clientData/>
  </xdr:twoCellAnchor>
  <xdr:twoCellAnchor>
    <xdr:from>
      <xdr:col>8</xdr:col>
      <xdr:colOff>981893</xdr:colOff>
      <xdr:row>14</xdr:row>
      <xdr:rowOff>3605</xdr:rowOff>
    </xdr:from>
    <xdr:to>
      <xdr:col>11</xdr:col>
      <xdr:colOff>619279</xdr:colOff>
      <xdr:row>21</xdr:row>
      <xdr:rowOff>259611</xdr:rowOff>
    </xdr:to>
    <xdr:grpSp>
      <xdr:nvGrpSpPr>
        <xdr:cNvPr id="45" name="Group 44">
          <a:extLst>
            <a:ext uri="{FF2B5EF4-FFF2-40B4-BE49-F238E27FC236}">
              <a16:creationId xmlns:a16="http://schemas.microsoft.com/office/drawing/2014/main" id="{00000000-0008-0000-0100-00002D000000}"/>
            </a:ext>
          </a:extLst>
        </xdr:cNvPr>
        <xdr:cNvGrpSpPr/>
      </xdr:nvGrpSpPr>
      <xdr:grpSpPr>
        <a:xfrm>
          <a:off x="9981797" y="3911297"/>
          <a:ext cx="3593924" cy="2136583"/>
          <a:chOff x="14702813" y="2351842"/>
          <a:chExt cx="3160825" cy="2312635"/>
        </a:xfrm>
      </xdr:grpSpPr>
      <xdr:graphicFrame macro="">
        <xdr:nvGraphicFramePr>
          <xdr:cNvPr id="19" name="Chart 18">
            <a:extLst>
              <a:ext uri="{FF2B5EF4-FFF2-40B4-BE49-F238E27FC236}">
                <a16:creationId xmlns:a16="http://schemas.microsoft.com/office/drawing/2014/main" id="{00000000-0008-0000-0100-000013000000}"/>
              </a:ext>
            </a:extLst>
          </xdr:cNvPr>
          <xdr:cNvGraphicFramePr>
            <a:graphicFrameLocks/>
          </xdr:cNvGraphicFramePr>
        </xdr:nvGraphicFramePr>
        <xdr:xfrm>
          <a:off x="14702813" y="2351842"/>
          <a:ext cx="3160825" cy="2312635"/>
        </xdr:xfrm>
        <a:graphic>
          <a:graphicData uri="http://schemas.openxmlformats.org/drawingml/2006/chart">
            <c:chart xmlns:c="http://schemas.openxmlformats.org/drawingml/2006/chart" xmlns:r="http://schemas.openxmlformats.org/officeDocument/2006/relationships" r:id="rId14"/>
          </a:graphicData>
        </a:graphic>
      </xdr:graphicFrame>
      <xdr:pic>
        <xdr:nvPicPr>
          <xdr:cNvPr id="35" name="Graphic 34" descr="Gauge">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5888805" y="3199133"/>
            <a:ext cx="803965" cy="803965"/>
          </a:xfrm>
          <a:prstGeom prst="rect">
            <a:avLst/>
          </a:prstGeom>
        </xdr:spPr>
      </xdr:pic>
    </xdr:grpSp>
    <xdr:clientData/>
  </xdr:twoCellAnchor>
  <xdr:twoCellAnchor>
    <xdr:from>
      <xdr:col>7</xdr:col>
      <xdr:colOff>182391</xdr:colOff>
      <xdr:row>22</xdr:row>
      <xdr:rowOff>148679</xdr:rowOff>
    </xdr:from>
    <xdr:to>
      <xdr:col>9</xdr:col>
      <xdr:colOff>995021</xdr:colOff>
      <xdr:row>31</xdr:row>
      <xdr:rowOff>206827</xdr:rowOff>
    </xdr:to>
    <xdr:grpSp>
      <xdr:nvGrpSpPr>
        <xdr:cNvPr id="49" name="Group 48">
          <a:extLst>
            <a:ext uri="{FF2B5EF4-FFF2-40B4-BE49-F238E27FC236}">
              <a16:creationId xmlns:a16="http://schemas.microsoft.com/office/drawing/2014/main" id="{00000000-0008-0000-0100-000031000000}"/>
            </a:ext>
          </a:extLst>
        </xdr:cNvPr>
        <xdr:cNvGrpSpPr/>
      </xdr:nvGrpSpPr>
      <xdr:grpSpPr>
        <a:xfrm>
          <a:off x="7863449" y="6205602"/>
          <a:ext cx="3450322" cy="1953623"/>
          <a:chOff x="7828503" y="2481991"/>
          <a:chExt cx="3150659" cy="2255401"/>
        </a:xfrm>
      </xdr:grpSpPr>
      <xdr:graphicFrame macro="">
        <xdr:nvGraphicFramePr>
          <xdr:cNvPr id="20" name="Chart 19">
            <a:extLst>
              <a:ext uri="{FF2B5EF4-FFF2-40B4-BE49-F238E27FC236}">
                <a16:creationId xmlns:a16="http://schemas.microsoft.com/office/drawing/2014/main" id="{00000000-0008-0000-0100-000014000000}"/>
              </a:ext>
            </a:extLst>
          </xdr:cNvPr>
          <xdr:cNvGraphicFramePr>
            <a:graphicFrameLocks/>
          </xdr:cNvGraphicFramePr>
        </xdr:nvGraphicFramePr>
        <xdr:xfrm>
          <a:off x="7828503" y="2481991"/>
          <a:ext cx="3150659" cy="2255401"/>
        </xdr:xfrm>
        <a:graphic>
          <a:graphicData uri="http://schemas.openxmlformats.org/drawingml/2006/chart">
            <c:chart xmlns:c="http://schemas.openxmlformats.org/drawingml/2006/chart" xmlns:r="http://schemas.openxmlformats.org/officeDocument/2006/relationships" r:id="rId17"/>
          </a:graphicData>
        </a:graphic>
      </xdr:graphicFrame>
      <xdr:pic>
        <xdr:nvPicPr>
          <xdr:cNvPr id="36" name="Graphic 35" descr="Gauge">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012310" y="3353922"/>
            <a:ext cx="800709" cy="784887"/>
          </a:xfrm>
          <a:prstGeom prst="rect">
            <a:avLst/>
          </a:prstGeom>
        </xdr:spPr>
      </xdr:pic>
    </xdr:grpSp>
    <xdr:clientData/>
  </xdr:twoCellAnchor>
  <xdr:twoCellAnchor>
    <xdr:from>
      <xdr:col>5</xdr:col>
      <xdr:colOff>259155</xdr:colOff>
      <xdr:row>22</xdr:row>
      <xdr:rowOff>179348</xdr:rowOff>
    </xdr:from>
    <xdr:to>
      <xdr:col>8</xdr:col>
      <xdr:colOff>52981</xdr:colOff>
      <xdr:row>32</xdr:row>
      <xdr:rowOff>161919</xdr:rowOff>
    </xdr:to>
    <xdr:grpSp>
      <xdr:nvGrpSpPr>
        <xdr:cNvPr id="47" name="Group 46">
          <a:extLst>
            <a:ext uri="{FF2B5EF4-FFF2-40B4-BE49-F238E27FC236}">
              <a16:creationId xmlns:a16="http://schemas.microsoft.com/office/drawing/2014/main" id="{00000000-0008-0000-0100-00002F000000}"/>
            </a:ext>
          </a:extLst>
        </xdr:cNvPr>
        <xdr:cNvGrpSpPr/>
      </xdr:nvGrpSpPr>
      <xdr:grpSpPr>
        <a:xfrm>
          <a:off x="5302520" y="6236271"/>
          <a:ext cx="3750365" cy="2082956"/>
          <a:chOff x="13871736" y="4803594"/>
          <a:chExt cx="3304163" cy="2266003"/>
        </a:xfrm>
      </xdr:grpSpPr>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13871736" y="4803594"/>
          <a:ext cx="3304163" cy="2266003"/>
        </xdr:xfrm>
        <a:graphic>
          <a:graphicData uri="http://schemas.openxmlformats.org/drawingml/2006/chart">
            <c:chart xmlns:c="http://schemas.openxmlformats.org/drawingml/2006/chart" xmlns:r="http://schemas.openxmlformats.org/officeDocument/2006/relationships" r:id="rId18"/>
          </a:graphicData>
        </a:graphic>
      </xdr:graphicFrame>
      <xdr:pic>
        <xdr:nvPicPr>
          <xdr:cNvPr id="40" name="Graphic 39" descr="Database">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5138871" y="5775026"/>
            <a:ext cx="802103" cy="771081"/>
          </a:xfrm>
          <a:prstGeom prst="rect">
            <a:avLst/>
          </a:prstGeom>
        </xdr:spPr>
      </xdr:pic>
    </xdr:grpSp>
    <xdr:clientData/>
  </xdr:twoCellAnchor>
  <xdr:twoCellAnchor editAs="oneCell">
    <xdr:from>
      <xdr:col>4</xdr:col>
      <xdr:colOff>56669</xdr:colOff>
      <xdr:row>42</xdr:row>
      <xdr:rowOff>10991</xdr:rowOff>
    </xdr:from>
    <xdr:to>
      <xdr:col>8</xdr:col>
      <xdr:colOff>774915</xdr:colOff>
      <xdr:row>55</xdr:row>
      <xdr:rowOff>169082</xdr:rowOff>
    </xdr:to>
    <xdr:pic>
      <xdr:nvPicPr>
        <xdr:cNvPr id="16" name="Picture 15">
          <a:hlinkClick xmlns:r="http://schemas.openxmlformats.org/officeDocument/2006/relationships" r:id="rId21"/>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2"/>
        <a:stretch>
          <a:fillRect/>
        </a:stretch>
      </xdr:blipFill>
      <xdr:spPr>
        <a:xfrm>
          <a:off x="3457686" y="9718957"/>
          <a:ext cx="5281636" cy="3365380"/>
        </a:xfrm>
        <a:prstGeom prst="rect">
          <a:avLst/>
        </a:prstGeom>
        <a:ln w="28575">
          <a:solidFill>
            <a:srgbClr val="325466"/>
          </a:solidFill>
        </a:ln>
      </xdr:spPr>
    </xdr:pic>
    <xdr:clientData/>
  </xdr:twoCellAnchor>
  <xdr:twoCellAnchor>
    <xdr:from>
      <xdr:col>9</xdr:col>
      <xdr:colOff>14112</xdr:colOff>
      <xdr:row>43</xdr:row>
      <xdr:rowOff>192911</xdr:rowOff>
    </xdr:from>
    <xdr:to>
      <xdr:col>11</xdr:col>
      <xdr:colOff>150679</xdr:colOff>
      <xdr:row>45</xdr:row>
      <xdr:rowOff>164423</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9140892" y="10180708"/>
          <a:ext cx="2461312" cy="531173"/>
        </a:xfrm>
        <a:prstGeom prst="rect">
          <a:avLst/>
        </a:prstGeom>
        <a:solidFill>
          <a:srgbClr val="557F8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latin typeface="Calibri" panose="020F0502020204030204" pitchFamily="34" charset="0"/>
              <a:cs typeface="Calibri" panose="020F0502020204030204" pitchFamily="34" charset="0"/>
            </a:rPr>
            <a:t>VO2Max</a:t>
          </a:r>
        </a:p>
      </xdr:txBody>
    </xdr:sp>
    <xdr:clientData/>
  </xdr:twoCellAnchor>
  <xdr:twoCellAnchor>
    <xdr:from>
      <xdr:col>9</xdr:col>
      <xdr:colOff>14112</xdr:colOff>
      <xdr:row>52</xdr:row>
      <xdr:rowOff>130428</xdr:rowOff>
    </xdr:from>
    <xdr:to>
      <xdr:col>11</xdr:col>
      <xdr:colOff>150679</xdr:colOff>
      <xdr:row>55</xdr:row>
      <xdr:rowOff>35277</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9140892" y="12464496"/>
          <a:ext cx="2461312" cy="486035"/>
        </a:xfrm>
        <a:prstGeom prst="rect">
          <a:avLst/>
        </a:prstGeom>
        <a:solidFill>
          <a:srgbClr val="00AEB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latin typeface="Calibri" panose="020F0502020204030204" pitchFamily="34" charset="0"/>
              <a:cs typeface="Calibri" panose="020F0502020204030204" pitchFamily="34" charset="0"/>
            </a:rPr>
            <a:t>AeT</a:t>
          </a:r>
        </a:p>
      </xdr:txBody>
    </xdr:sp>
    <xdr:clientData/>
  </xdr:twoCellAnchor>
  <xdr:twoCellAnchor>
    <xdr:from>
      <xdr:col>9</xdr:col>
      <xdr:colOff>14112</xdr:colOff>
      <xdr:row>45</xdr:row>
      <xdr:rowOff>218651</xdr:rowOff>
    </xdr:from>
    <xdr:to>
      <xdr:col>11</xdr:col>
      <xdr:colOff>150679</xdr:colOff>
      <xdr:row>47</xdr:row>
      <xdr:rowOff>190161</xdr:rowOff>
    </xdr:to>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9140892" y="10766109"/>
          <a:ext cx="2461312" cy="531171"/>
        </a:xfrm>
        <a:prstGeom prst="rect">
          <a:avLst/>
        </a:prstGeom>
        <a:solidFill>
          <a:srgbClr val="55BDB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latin typeface="Calibri" panose="020F0502020204030204" pitchFamily="34" charset="0"/>
              <a:cs typeface="Calibri" panose="020F0502020204030204" pitchFamily="34" charset="0"/>
            </a:rPr>
            <a:t>AnT</a:t>
          </a:r>
        </a:p>
      </xdr:txBody>
    </xdr:sp>
    <xdr:clientData/>
  </xdr:twoCellAnchor>
  <xdr:twoCellAnchor>
    <xdr:from>
      <xdr:col>9</xdr:col>
      <xdr:colOff>14112</xdr:colOff>
      <xdr:row>49</xdr:row>
      <xdr:rowOff>258451</xdr:rowOff>
    </xdr:from>
    <xdr:to>
      <xdr:col>11</xdr:col>
      <xdr:colOff>150679</xdr:colOff>
      <xdr:row>52</xdr:row>
      <xdr:rowOff>76201</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9140892" y="11925231"/>
          <a:ext cx="2461312" cy="485038"/>
        </a:xfrm>
        <a:prstGeom prst="rect">
          <a:avLst/>
        </a:prstGeom>
        <a:solidFill>
          <a:srgbClr val="00D3D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latin typeface="Calibri" panose="020F0502020204030204" pitchFamily="34" charset="0"/>
              <a:cs typeface="Calibri" panose="020F0502020204030204" pitchFamily="34" charset="0"/>
            </a:rPr>
            <a:t>MEP</a:t>
          </a:r>
        </a:p>
      </xdr:txBody>
    </xdr:sp>
    <xdr:clientData/>
  </xdr:twoCellAnchor>
  <xdr:twoCellAnchor>
    <xdr:from>
      <xdr:col>9</xdr:col>
      <xdr:colOff>14112</xdr:colOff>
      <xdr:row>47</xdr:row>
      <xdr:rowOff>244389</xdr:rowOff>
    </xdr:from>
    <xdr:to>
      <xdr:col>11</xdr:col>
      <xdr:colOff>150679</xdr:colOff>
      <xdr:row>49</xdr:row>
      <xdr:rowOff>204223</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9140892" y="11351508"/>
          <a:ext cx="2461312" cy="519495"/>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latin typeface="Calibri" panose="020F0502020204030204" pitchFamily="34" charset="0"/>
              <a:cs typeface="Calibri" panose="020F0502020204030204" pitchFamily="34" charset="0"/>
            </a:rPr>
            <a:t>Economy</a:t>
          </a:r>
        </a:p>
      </xdr:txBody>
    </xdr:sp>
    <xdr:clientData/>
  </xdr:twoCellAnchor>
  <xdr:twoCellAnchor editAs="oneCell">
    <xdr:from>
      <xdr:col>10</xdr:col>
      <xdr:colOff>501530</xdr:colOff>
      <xdr:row>42</xdr:row>
      <xdr:rowOff>152159</xdr:rowOff>
    </xdr:from>
    <xdr:to>
      <xdr:col>13</xdr:col>
      <xdr:colOff>408984</xdr:colOff>
      <xdr:row>56</xdr:row>
      <xdr:rowOff>107627</xdr:rowOff>
    </xdr:to>
    <xdr:pic>
      <xdr:nvPicPr>
        <xdr:cNvPr id="25" name="Graphic 24" descr="Playbook">
          <a:hlinkClick xmlns:r="http://schemas.openxmlformats.org/officeDocument/2006/relationships" r:id="rId23"/>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0790683" y="9860125"/>
          <a:ext cx="3394572" cy="3356485"/>
        </a:xfrm>
        <a:prstGeom prst="rect">
          <a:avLst/>
        </a:prstGeom>
      </xdr:spPr>
    </xdr:pic>
    <xdr:clientData/>
  </xdr:twoCellAnchor>
  <xdr:twoCellAnchor>
    <xdr:from>
      <xdr:col>11</xdr:col>
      <xdr:colOff>394606</xdr:colOff>
      <xdr:row>22</xdr:row>
      <xdr:rowOff>75535</xdr:rowOff>
    </xdr:from>
    <xdr:to>
      <xdr:col>12</xdr:col>
      <xdr:colOff>739669</xdr:colOff>
      <xdr:row>25</xdr:row>
      <xdr:rowOff>157006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3352793" y="6083612"/>
          <a:ext cx="1663909" cy="678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i="0" u="none" strike="noStrike">
              <a:solidFill>
                <a:schemeClr val="dk1"/>
              </a:solidFill>
              <a:effectLst/>
              <a:latin typeface="+mn-lt"/>
              <a:ea typeface="+mn-ea"/>
              <a:cs typeface="+mn-cs"/>
            </a:rPr>
            <a:t>8. Metabolic Efficiency Point</a:t>
          </a:r>
          <a:r>
            <a:rPr lang="en-GB" sz="1400"/>
            <a:t> </a:t>
          </a:r>
        </a:p>
      </xdr:txBody>
    </xdr:sp>
    <xdr:clientData/>
  </xdr:twoCellAnchor>
  <xdr:twoCellAnchor>
    <xdr:from>
      <xdr:col>11</xdr:col>
      <xdr:colOff>506605</xdr:colOff>
      <xdr:row>25</xdr:row>
      <xdr:rowOff>163112</xdr:rowOff>
    </xdr:from>
    <xdr:to>
      <xdr:col>12</xdr:col>
      <xdr:colOff>683847</xdr:colOff>
      <xdr:row>32</xdr:row>
      <xdr:rowOff>27913</xdr:rowOff>
    </xdr:to>
    <xdr:sp macro="" textlink="">
      <xdr:nvSpPr>
        <xdr:cNvPr id="7" name="Doughnut 6">
          <a:extLst>
            <a:ext uri="{FF2B5EF4-FFF2-40B4-BE49-F238E27FC236}">
              <a16:creationId xmlns:a16="http://schemas.microsoft.com/office/drawing/2014/main" id="{00000000-0008-0000-0100-000007000000}"/>
            </a:ext>
          </a:extLst>
        </xdr:cNvPr>
        <xdr:cNvSpPr/>
      </xdr:nvSpPr>
      <xdr:spPr>
        <a:xfrm>
          <a:off x="12034297" y="6848057"/>
          <a:ext cx="1349550" cy="1386010"/>
        </a:xfrm>
        <a:prstGeom prst="donut">
          <a:avLst>
            <a:gd name="adj" fmla="val 123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xdr:col>
      <xdr:colOff>2264214</xdr:colOff>
      <xdr:row>22</xdr:row>
      <xdr:rowOff>182452</xdr:rowOff>
    </xdr:from>
    <xdr:to>
      <xdr:col>6</xdr:col>
      <xdr:colOff>278657</xdr:colOff>
      <xdr:row>32</xdr:row>
      <xdr:rowOff>31259</xdr:rowOff>
    </xdr:to>
    <xdr:grpSp>
      <xdr:nvGrpSpPr>
        <xdr:cNvPr id="34" name="Group 33">
          <a:extLst>
            <a:ext uri="{FF2B5EF4-FFF2-40B4-BE49-F238E27FC236}">
              <a16:creationId xmlns:a16="http://schemas.microsoft.com/office/drawing/2014/main" id="{00000000-0008-0000-0100-000022000000}"/>
            </a:ext>
          </a:extLst>
        </xdr:cNvPr>
        <xdr:cNvGrpSpPr/>
      </xdr:nvGrpSpPr>
      <xdr:grpSpPr>
        <a:xfrm>
          <a:off x="3021329" y="6239375"/>
          <a:ext cx="3619540" cy="1949192"/>
          <a:chOff x="7846699" y="2530092"/>
          <a:chExt cx="3150659" cy="2255401"/>
        </a:xfrm>
      </xdr:grpSpPr>
      <xdr:graphicFrame macro="">
        <xdr:nvGraphicFramePr>
          <xdr:cNvPr id="37" name="Chart 36">
            <a:extLst>
              <a:ext uri="{FF2B5EF4-FFF2-40B4-BE49-F238E27FC236}">
                <a16:creationId xmlns:a16="http://schemas.microsoft.com/office/drawing/2014/main" id="{00000000-0008-0000-0100-000025000000}"/>
              </a:ext>
            </a:extLst>
          </xdr:cNvPr>
          <xdr:cNvGraphicFramePr>
            <a:graphicFrameLocks/>
          </xdr:cNvGraphicFramePr>
        </xdr:nvGraphicFramePr>
        <xdr:xfrm>
          <a:off x="7846699" y="2530092"/>
          <a:ext cx="3150659" cy="2255401"/>
        </xdr:xfrm>
        <a:graphic>
          <a:graphicData uri="http://schemas.openxmlformats.org/drawingml/2006/chart">
            <c:chart xmlns:c="http://schemas.openxmlformats.org/drawingml/2006/chart" xmlns:r="http://schemas.openxmlformats.org/officeDocument/2006/relationships" r:id="rId26"/>
          </a:graphicData>
        </a:graphic>
      </xdr:graphicFrame>
      <xdr:pic>
        <xdr:nvPicPr>
          <xdr:cNvPr id="38" name="Graphic 37" descr="Gauge">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012310" y="3353922"/>
            <a:ext cx="800709" cy="78488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571500</xdr:colOff>
      <xdr:row>1</xdr:row>
      <xdr:rowOff>292100</xdr:rowOff>
    </xdr:from>
    <xdr:to>
      <xdr:col>9</xdr:col>
      <xdr:colOff>642120</xdr:colOff>
      <xdr:row>4</xdr:row>
      <xdr:rowOff>274538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44300" y="596900"/>
          <a:ext cx="896120" cy="8968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413071</xdr:colOff>
      <xdr:row>0</xdr:row>
      <xdr:rowOff>175621</xdr:rowOff>
    </xdr:from>
    <xdr:to>
      <xdr:col>0</xdr:col>
      <xdr:colOff>1302071</xdr:colOff>
      <xdr:row>4</xdr:row>
      <xdr:rowOff>198035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413071" y="175621"/>
          <a:ext cx="889000" cy="895539"/>
        </a:xfrm>
        <a:prstGeom prst="rect">
          <a:avLst/>
        </a:prstGeom>
      </xdr:spPr>
    </xdr:pic>
    <xdr:clientData/>
  </xdr:twoCellAnchor>
  <xdr:twoCellAnchor editAs="oneCell">
    <xdr:from>
      <xdr:col>6</xdr:col>
      <xdr:colOff>25400</xdr:colOff>
      <xdr:row>142</xdr:row>
      <xdr:rowOff>25400</xdr:rowOff>
    </xdr:from>
    <xdr:to>
      <xdr:col>7</xdr:col>
      <xdr:colOff>2437</xdr:colOff>
      <xdr:row>142</xdr:row>
      <xdr:rowOff>212020</xdr:rowOff>
    </xdr:to>
    <xdr:pic>
      <xdr:nvPicPr>
        <xdr:cNvPr id="3" name="Scroll Bar 9">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1163300" y="28879800"/>
          <a:ext cx="2275737" cy="18344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28575</xdr:colOff>
          <xdr:row>3</xdr:row>
          <xdr:rowOff>9525</xdr:rowOff>
        </xdr:from>
        <xdr:to>
          <xdr:col>4</xdr:col>
          <xdr:colOff>0</xdr:colOff>
          <xdr:row>3</xdr:row>
          <xdr:rowOff>200025</xdr:rowOff>
        </xdr:to>
        <xdr:sp macro="" textlink="">
          <xdr:nvSpPr>
            <xdr:cNvPr id="12289" name="Scroll Bar 1" hidden="1">
              <a:extLst>
                <a:ext uri="{63B3BB69-23CF-44E3-9099-C40C66FF867C}">
                  <a14:compatExt spid="_x0000_s12289"/>
                </a:ext>
                <a:ext uri="{FF2B5EF4-FFF2-40B4-BE49-F238E27FC236}">
                  <a16:creationId xmlns:a16="http://schemas.microsoft.com/office/drawing/2014/main" id="{00000000-0008-0000-0300-00000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xdr:row>
          <xdr:rowOff>9525</xdr:rowOff>
        </xdr:from>
        <xdr:to>
          <xdr:col>5</xdr:col>
          <xdr:colOff>0</xdr:colOff>
          <xdr:row>3</xdr:row>
          <xdr:rowOff>200025</xdr:rowOff>
        </xdr:to>
        <xdr:sp macro="" textlink="">
          <xdr:nvSpPr>
            <xdr:cNvPr id="12290" name="Scroll Bar 2" hidden="1">
              <a:extLst>
                <a:ext uri="{63B3BB69-23CF-44E3-9099-C40C66FF867C}">
                  <a14:compatExt spid="_x0000_s12290"/>
                </a:ext>
                <a:ext uri="{FF2B5EF4-FFF2-40B4-BE49-F238E27FC236}">
                  <a16:creationId xmlns:a16="http://schemas.microsoft.com/office/drawing/2014/main" id="{00000000-0008-0000-0300-000002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xdr:row>
          <xdr:rowOff>9525</xdr:rowOff>
        </xdr:from>
        <xdr:to>
          <xdr:col>6</xdr:col>
          <xdr:colOff>0</xdr:colOff>
          <xdr:row>3</xdr:row>
          <xdr:rowOff>200025</xdr:rowOff>
        </xdr:to>
        <xdr:sp macro="" textlink="">
          <xdr:nvSpPr>
            <xdr:cNvPr id="12291" name="Scroll Bar 3" hidden="1">
              <a:extLst>
                <a:ext uri="{63B3BB69-23CF-44E3-9099-C40C66FF867C}">
                  <a14:compatExt spid="_x0000_s12291"/>
                </a:ext>
                <a:ext uri="{FF2B5EF4-FFF2-40B4-BE49-F238E27FC236}">
                  <a16:creationId xmlns:a16="http://schemas.microsoft.com/office/drawing/2014/main" id="{00000000-0008-0000-0300-000003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3</xdr:row>
          <xdr:rowOff>28575</xdr:rowOff>
        </xdr:from>
        <xdr:to>
          <xdr:col>7</xdr:col>
          <xdr:colOff>0</xdr:colOff>
          <xdr:row>3</xdr:row>
          <xdr:rowOff>200025</xdr:rowOff>
        </xdr:to>
        <xdr:sp macro="" textlink="">
          <xdr:nvSpPr>
            <xdr:cNvPr id="12292" name="Scroll Bar 4" hidden="1">
              <a:extLst>
                <a:ext uri="{63B3BB69-23CF-44E3-9099-C40C66FF867C}">
                  <a14:compatExt spid="_x0000_s12292"/>
                </a:ext>
                <a:ext uri="{FF2B5EF4-FFF2-40B4-BE49-F238E27FC236}">
                  <a16:creationId xmlns:a16="http://schemas.microsoft.com/office/drawing/2014/main" id="{00000000-0008-0000-0300-000004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12</xdr:row>
          <xdr:rowOff>28575</xdr:rowOff>
        </xdr:from>
        <xdr:to>
          <xdr:col>4</xdr:col>
          <xdr:colOff>0</xdr:colOff>
          <xdr:row>12</xdr:row>
          <xdr:rowOff>200025</xdr:rowOff>
        </xdr:to>
        <xdr:sp macro="" textlink="">
          <xdr:nvSpPr>
            <xdr:cNvPr id="12293" name="Scroll Bar 5" hidden="1">
              <a:extLst>
                <a:ext uri="{63B3BB69-23CF-44E3-9099-C40C66FF867C}">
                  <a14:compatExt spid="_x0000_s12293"/>
                </a:ext>
                <a:ext uri="{FF2B5EF4-FFF2-40B4-BE49-F238E27FC236}">
                  <a16:creationId xmlns:a16="http://schemas.microsoft.com/office/drawing/2014/main" id="{00000000-0008-0000-0300-000005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12</xdr:row>
          <xdr:rowOff>28575</xdr:rowOff>
        </xdr:from>
        <xdr:to>
          <xdr:col>5</xdr:col>
          <xdr:colOff>0</xdr:colOff>
          <xdr:row>12</xdr:row>
          <xdr:rowOff>200025</xdr:rowOff>
        </xdr:to>
        <xdr:sp macro="" textlink="">
          <xdr:nvSpPr>
            <xdr:cNvPr id="12294" name="Scroll Bar 6" hidden="1">
              <a:extLst>
                <a:ext uri="{63B3BB69-23CF-44E3-9099-C40C66FF867C}">
                  <a14:compatExt spid="_x0000_s12294"/>
                </a:ext>
                <a:ext uri="{FF2B5EF4-FFF2-40B4-BE49-F238E27FC236}">
                  <a16:creationId xmlns:a16="http://schemas.microsoft.com/office/drawing/2014/main" id="{00000000-0008-0000-0300-000006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28575</xdr:rowOff>
        </xdr:from>
        <xdr:to>
          <xdr:col>6</xdr:col>
          <xdr:colOff>0</xdr:colOff>
          <xdr:row>12</xdr:row>
          <xdr:rowOff>200025</xdr:rowOff>
        </xdr:to>
        <xdr:sp macro="" textlink="">
          <xdr:nvSpPr>
            <xdr:cNvPr id="12295" name="Scroll Bar 7" hidden="1">
              <a:extLst>
                <a:ext uri="{63B3BB69-23CF-44E3-9099-C40C66FF867C}">
                  <a14:compatExt spid="_x0000_s12295"/>
                </a:ext>
                <a:ext uri="{FF2B5EF4-FFF2-40B4-BE49-F238E27FC236}">
                  <a16:creationId xmlns:a16="http://schemas.microsoft.com/office/drawing/2014/main" id="{00000000-0008-0000-0300-000007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12</xdr:row>
          <xdr:rowOff>28575</xdr:rowOff>
        </xdr:from>
        <xdr:to>
          <xdr:col>7</xdr:col>
          <xdr:colOff>0</xdr:colOff>
          <xdr:row>12</xdr:row>
          <xdr:rowOff>200025</xdr:rowOff>
        </xdr:to>
        <xdr:sp macro="" textlink="">
          <xdr:nvSpPr>
            <xdr:cNvPr id="12296" name="Scroll Bar 8" hidden="1">
              <a:extLst>
                <a:ext uri="{63B3BB69-23CF-44E3-9099-C40C66FF867C}">
                  <a14:compatExt spid="_x0000_s12296"/>
                </a:ext>
                <a:ext uri="{FF2B5EF4-FFF2-40B4-BE49-F238E27FC236}">
                  <a16:creationId xmlns:a16="http://schemas.microsoft.com/office/drawing/2014/main" id="{00000000-0008-0000-0300-000008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xdr:row>
          <xdr:rowOff>0</xdr:rowOff>
        </xdr:from>
        <xdr:to>
          <xdr:col>8</xdr:col>
          <xdr:colOff>0</xdr:colOff>
          <xdr:row>3</xdr:row>
          <xdr:rowOff>200025</xdr:rowOff>
        </xdr:to>
        <xdr:sp macro="" textlink="">
          <xdr:nvSpPr>
            <xdr:cNvPr id="12297" name="Scroll Bar 9" hidden="1">
              <a:extLst>
                <a:ext uri="{63B3BB69-23CF-44E3-9099-C40C66FF867C}">
                  <a14:compatExt spid="_x0000_s12297"/>
                </a:ext>
                <a:ext uri="{FF2B5EF4-FFF2-40B4-BE49-F238E27FC236}">
                  <a16:creationId xmlns:a16="http://schemas.microsoft.com/office/drawing/2014/main" id="{00000000-0008-0000-0300-000009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12</xdr:row>
          <xdr:rowOff>9525</xdr:rowOff>
        </xdr:from>
        <xdr:to>
          <xdr:col>8</xdr:col>
          <xdr:colOff>0</xdr:colOff>
          <xdr:row>12</xdr:row>
          <xdr:rowOff>200025</xdr:rowOff>
        </xdr:to>
        <xdr:sp macro="" textlink="">
          <xdr:nvSpPr>
            <xdr:cNvPr id="12298" name="Scroll Bar 10" hidden="1">
              <a:extLst>
                <a:ext uri="{63B3BB69-23CF-44E3-9099-C40C66FF867C}">
                  <a14:compatExt spid="_x0000_s12298"/>
                </a:ext>
                <a:ext uri="{FF2B5EF4-FFF2-40B4-BE49-F238E27FC236}">
                  <a16:creationId xmlns:a16="http://schemas.microsoft.com/office/drawing/2014/main" id="{00000000-0008-0000-0300-00000A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xdr:row>
          <xdr:rowOff>9525</xdr:rowOff>
        </xdr:from>
        <xdr:to>
          <xdr:col>4</xdr:col>
          <xdr:colOff>0</xdr:colOff>
          <xdr:row>29</xdr:row>
          <xdr:rowOff>200025</xdr:rowOff>
        </xdr:to>
        <xdr:sp macro="" textlink="">
          <xdr:nvSpPr>
            <xdr:cNvPr id="12299" name="Scroll Bar 11" hidden="1">
              <a:extLst>
                <a:ext uri="{63B3BB69-23CF-44E3-9099-C40C66FF867C}">
                  <a14:compatExt spid="_x0000_s12299"/>
                </a:ext>
                <a:ext uri="{FF2B5EF4-FFF2-40B4-BE49-F238E27FC236}">
                  <a16:creationId xmlns:a16="http://schemas.microsoft.com/office/drawing/2014/main" id="{00000000-0008-0000-0300-00000B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9525</xdr:rowOff>
        </xdr:from>
        <xdr:to>
          <xdr:col>5</xdr:col>
          <xdr:colOff>0</xdr:colOff>
          <xdr:row>29</xdr:row>
          <xdr:rowOff>200025</xdr:rowOff>
        </xdr:to>
        <xdr:sp macro="" textlink="">
          <xdr:nvSpPr>
            <xdr:cNvPr id="12300" name="Scroll Bar 12" hidden="1">
              <a:extLst>
                <a:ext uri="{63B3BB69-23CF-44E3-9099-C40C66FF867C}">
                  <a14:compatExt spid="_x0000_s12300"/>
                </a:ext>
                <a:ext uri="{FF2B5EF4-FFF2-40B4-BE49-F238E27FC236}">
                  <a16:creationId xmlns:a16="http://schemas.microsoft.com/office/drawing/2014/main" id="{00000000-0008-0000-0300-00000C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xdr:row>
          <xdr:rowOff>9525</xdr:rowOff>
        </xdr:from>
        <xdr:to>
          <xdr:col>6</xdr:col>
          <xdr:colOff>0</xdr:colOff>
          <xdr:row>29</xdr:row>
          <xdr:rowOff>200025</xdr:rowOff>
        </xdr:to>
        <xdr:sp macro="" textlink="">
          <xdr:nvSpPr>
            <xdr:cNvPr id="12301" name="Scroll Bar 13" hidden="1">
              <a:extLst>
                <a:ext uri="{63B3BB69-23CF-44E3-9099-C40C66FF867C}">
                  <a14:compatExt spid="_x0000_s12301"/>
                </a:ext>
                <a:ext uri="{FF2B5EF4-FFF2-40B4-BE49-F238E27FC236}">
                  <a16:creationId xmlns:a16="http://schemas.microsoft.com/office/drawing/2014/main" id="{00000000-0008-0000-0300-00000D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9525</xdr:rowOff>
        </xdr:from>
        <xdr:to>
          <xdr:col>7</xdr:col>
          <xdr:colOff>0</xdr:colOff>
          <xdr:row>29</xdr:row>
          <xdr:rowOff>200025</xdr:rowOff>
        </xdr:to>
        <xdr:sp macro="" textlink="">
          <xdr:nvSpPr>
            <xdr:cNvPr id="12302" name="Scroll Bar 14" hidden="1">
              <a:extLst>
                <a:ext uri="{63B3BB69-23CF-44E3-9099-C40C66FF867C}">
                  <a14:compatExt spid="_x0000_s12302"/>
                </a:ext>
                <a:ext uri="{FF2B5EF4-FFF2-40B4-BE49-F238E27FC236}">
                  <a16:creationId xmlns:a16="http://schemas.microsoft.com/office/drawing/2014/main" id="{00000000-0008-0000-0300-00000E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29</xdr:row>
          <xdr:rowOff>9525</xdr:rowOff>
        </xdr:from>
        <xdr:to>
          <xdr:col>8</xdr:col>
          <xdr:colOff>0</xdr:colOff>
          <xdr:row>29</xdr:row>
          <xdr:rowOff>200025</xdr:rowOff>
        </xdr:to>
        <xdr:sp macro="" textlink="">
          <xdr:nvSpPr>
            <xdr:cNvPr id="12303" name="Scroll Bar 15" hidden="1">
              <a:extLst>
                <a:ext uri="{63B3BB69-23CF-44E3-9099-C40C66FF867C}">
                  <a14:compatExt spid="_x0000_s12303"/>
                </a:ext>
                <a:ext uri="{FF2B5EF4-FFF2-40B4-BE49-F238E27FC236}">
                  <a16:creationId xmlns:a16="http://schemas.microsoft.com/office/drawing/2014/main" id="{00000000-0008-0000-0300-00000F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2171700</xdr:colOff>
          <xdr:row>37</xdr:row>
          <xdr:rowOff>257175</xdr:rowOff>
        </xdr:from>
        <xdr:to>
          <xdr:col>4</xdr:col>
          <xdr:colOff>0</xdr:colOff>
          <xdr:row>38</xdr:row>
          <xdr:rowOff>200025</xdr:rowOff>
        </xdr:to>
        <xdr:sp macro="" textlink="">
          <xdr:nvSpPr>
            <xdr:cNvPr id="12304" name="Scroll Bar 16" hidden="1">
              <a:extLst>
                <a:ext uri="{63B3BB69-23CF-44E3-9099-C40C66FF867C}">
                  <a14:compatExt spid="_x0000_s12304"/>
                </a:ext>
                <a:ext uri="{FF2B5EF4-FFF2-40B4-BE49-F238E27FC236}">
                  <a16:creationId xmlns:a16="http://schemas.microsoft.com/office/drawing/2014/main" id="{00000000-0008-0000-0300-000010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2981325</xdr:colOff>
          <xdr:row>37</xdr:row>
          <xdr:rowOff>257175</xdr:rowOff>
        </xdr:from>
        <xdr:to>
          <xdr:col>5</xdr:col>
          <xdr:colOff>0</xdr:colOff>
          <xdr:row>38</xdr:row>
          <xdr:rowOff>200025</xdr:rowOff>
        </xdr:to>
        <xdr:sp macro="" textlink="">
          <xdr:nvSpPr>
            <xdr:cNvPr id="12305" name="Scroll Bar 17" hidden="1">
              <a:extLst>
                <a:ext uri="{63B3BB69-23CF-44E3-9099-C40C66FF867C}">
                  <a14:compatExt spid="_x0000_s12305"/>
                </a:ext>
                <a:ext uri="{FF2B5EF4-FFF2-40B4-BE49-F238E27FC236}">
                  <a16:creationId xmlns:a16="http://schemas.microsoft.com/office/drawing/2014/main" id="{00000000-0008-0000-0300-00001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3019425</xdr:colOff>
          <xdr:row>38</xdr:row>
          <xdr:rowOff>0</xdr:rowOff>
        </xdr:from>
        <xdr:to>
          <xdr:col>6</xdr:col>
          <xdr:colOff>0</xdr:colOff>
          <xdr:row>38</xdr:row>
          <xdr:rowOff>200025</xdr:rowOff>
        </xdr:to>
        <xdr:sp macro="" textlink="">
          <xdr:nvSpPr>
            <xdr:cNvPr id="12306" name="Scroll Bar 18" hidden="1">
              <a:extLst>
                <a:ext uri="{63B3BB69-23CF-44E3-9099-C40C66FF867C}">
                  <a14:compatExt spid="_x0000_s12306"/>
                </a:ext>
                <a:ext uri="{FF2B5EF4-FFF2-40B4-BE49-F238E27FC236}">
                  <a16:creationId xmlns:a16="http://schemas.microsoft.com/office/drawing/2014/main" id="{00000000-0008-0000-0300-000012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3048000</xdr:colOff>
          <xdr:row>37</xdr:row>
          <xdr:rowOff>257175</xdr:rowOff>
        </xdr:from>
        <xdr:to>
          <xdr:col>7</xdr:col>
          <xdr:colOff>0</xdr:colOff>
          <xdr:row>38</xdr:row>
          <xdr:rowOff>200025</xdr:rowOff>
        </xdr:to>
        <xdr:sp macro="" textlink="">
          <xdr:nvSpPr>
            <xdr:cNvPr id="12307" name="Scroll Bar 19" hidden="1">
              <a:extLst>
                <a:ext uri="{63B3BB69-23CF-44E3-9099-C40C66FF867C}">
                  <a14:compatExt spid="_x0000_s12307"/>
                </a:ext>
                <a:ext uri="{FF2B5EF4-FFF2-40B4-BE49-F238E27FC236}">
                  <a16:creationId xmlns:a16="http://schemas.microsoft.com/office/drawing/2014/main" id="{00000000-0008-0000-0300-000013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37</xdr:row>
          <xdr:rowOff>238125</xdr:rowOff>
        </xdr:from>
        <xdr:to>
          <xdr:col>8</xdr:col>
          <xdr:colOff>0</xdr:colOff>
          <xdr:row>38</xdr:row>
          <xdr:rowOff>200025</xdr:rowOff>
        </xdr:to>
        <xdr:sp macro="" textlink="">
          <xdr:nvSpPr>
            <xdr:cNvPr id="12308" name="Scroll Bar 20" hidden="1">
              <a:extLst>
                <a:ext uri="{63B3BB69-23CF-44E3-9099-C40C66FF867C}">
                  <a14:compatExt spid="_x0000_s12308"/>
                </a:ext>
                <a:ext uri="{FF2B5EF4-FFF2-40B4-BE49-F238E27FC236}">
                  <a16:creationId xmlns:a16="http://schemas.microsoft.com/office/drawing/2014/main" id="{00000000-0008-0000-0300-000014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55</xdr:row>
          <xdr:rowOff>9525</xdr:rowOff>
        </xdr:from>
        <xdr:to>
          <xdr:col>4</xdr:col>
          <xdr:colOff>0</xdr:colOff>
          <xdr:row>55</xdr:row>
          <xdr:rowOff>200025</xdr:rowOff>
        </xdr:to>
        <xdr:sp macro="" textlink="">
          <xdr:nvSpPr>
            <xdr:cNvPr id="12309" name="Scroll Bar 21" hidden="1">
              <a:extLst>
                <a:ext uri="{63B3BB69-23CF-44E3-9099-C40C66FF867C}">
                  <a14:compatExt spid="_x0000_s12309"/>
                </a:ext>
                <a:ext uri="{FF2B5EF4-FFF2-40B4-BE49-F238E27FC236}">
                  <a16:creationId xmlns:a16="http://schemas.microsoft.com/office/drawing/2014/main" id="{00000000-0008-0000-0300-000015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55</xdr:row>
          <xdr:rowOff>9525</xdr:rowOff>
        </xdr:from>
        <xdr:to>
          <xdr:col>5</xdr:col>
          <xdr:colOff>0</xdr:colOff>
          <xdr:row>55</xdr:row>
          <xdr:rowOff>200025</xdr:rowOff>
        </xdr:to>
        <xdr:sp macro="" textlink="">
          <xdr:nvSpPr>
            <xdr:cNvPr id="12310" name="Scroll Bar 22" hidden="1">
              <a:extLst>
                <a:ext uri="{63B3BB69-23CF-44E3-9099-C40C66FF867C}">
                  <a14:compatExt spid="_x0000_s12310"/>
                </a:ext>
                <a:ext uri="{FF2B5EF4-FFF2-40B4-BE49-F238E27FC236}">
                  <a16:creationId xmlns:a16="http://schemas.microsoft.com/office/drawing/2014/main" id="{00000000-0008-0000-0300-000016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9525</xdr:rowOff>
        </xdr:from>
        <xdr:to>
          <xdr:col>6</xdr:col>
          <xdr:colOff>0</xdr:colOff>
          <xdr:row>55</xdr:row>
          <xdr:rowOff>200025</xdr:rowOff>
        </xdr:to>
        <xdr:sp macro="" textlink="">
          <xdr:nvSpPr>
            <xdr:cNvPr id="12311" name="Scroll Bar 23" hidden="1">
              <a:extLst>
                <a:ext uri="{63B3BB69-23CF-44E3-9099-C40C66FF867C}">
                  <a14:compatExt spid="_x0000_s12311"/>
                </a:ext>
                <a:ext uri="{FF2B5EF4-FFF2-40B4-BE49-F238E27FC236}">
                  <a16:creationId xmlns:a16="http://schemas.microsoft.com/office/drawing/2014/main" id="{00000000-0008-0000-0300-000017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55</xdr:row>
          <xdr:rowOff>0</xdr:rowOff>
        </xdr:from>
        <xdr:to>
          <xdr:col>7</xdr:col>
          <xdr:colOff>0</xdr:colOff>
          <xdr:row>55</xdr:row>
          <xdr:rowOff>200025</xdr:rowOff>
        </xdr:to>
        <xdr:sp macro="" textlink="">
          <xdr:nvSpPr>
            <xdr:cNvPr id="12312" name="Scroll Bar 24" hidden="1">
              <a:extLst>
                <a:ext uri="{63B3BB69-23CF-44E3-9099-C40C66FF867C}">
                  <a14:compatExt spid="_x0000_s12312"/>
                </a:ext>
                <a:ext uri="{FF2B5EF4-FFF2-40B4-BE49-F238E27FC236}">
                  <a16:creationId xmlns:a16="http://schemas.microsoft.com/office/drawing/2014/main" id="{00000000-0008-0000-0300-000018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55</xdr:row>
          <xdr:rowOff>0</xdr:rowOff>
        </xdr:from>
        <xdr:to>
          <xdr:col>8</xdr:col>
          <xdr:colOff>0</xdr:colOff>
          <xdr:row>55</xdr:row>
          <xdr:rowOff>200025</xdr:rowOff>
        </xdr:to>
        <xdr:sp macro="" textlink="">
          <xdr:nvSpPr>
            <xdr:cNvPr id="12313" name="Scroll Bar 25" hidden="1">
              <a:extLst>
                <a:ext uri="{63B3BB69-23CF-44E3-9099-C40C66FF867C}">
                  <a14:compatExt spid="_x0000_s12313"/>
                </a:ext>
                <a:ext uri="{FF2B5EF4-FFF2-40B4-BE49-F238E27FC236}">
                  <a16:creationId xmlns:a16="http://schemas.microsoft.com/office/drawing/2014/main" id="{00000000-0008-0000-0300-000019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257175</xdr:rowOff>
        </xdr:from>
        <xdr:to>
          <xdr:col>4</xdr:col>
          <xdr:colOff>0</xdr:colOff>
          <xdr:row>64</xdr:row>
          <xdr:rowOff>200025</xdr:rowOff>
        </xdr:to>
        <xdr:sp macro="" textlink="">
          <xdr:nvSpPr>
            <xdr:cNvPr id="12314" name="Scroll Bar 26" hidden="1">
              <a:extLst>
                <a:ext uri="{63B3BB69-23CF-44E3-9099-C40C66FF867C}">
                  <a14:compatExt spid="_x0000_s12314"/>
                </a:ext>
                <a:ext uri="{FF2B5EF4-FFF2-40B4-BE49-F238E27FC236}">
                  <a16:creationId xmlns:a16="http://schemas.microsoft.com/office/drawing/2014/main" id="{00000000-0008-0000-0300-00001A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63</xdr:row>
          <xdr:rowOff>257175</xdr:rowOff>
        </xdr:from>
        <xdr:to>
          <xdr:col>5</xdr:col>
          <xdr:colOff>0</xdr:colOff>
          <xdr:row>64</xdr:row>
          <xdr:rowOff>200025</xdr:rowOff>
        </xdr:to>
        <xdr:sp macro="" textlink="">
          <xdr:nvSpPr>
            <xdr:cNvPr id="12315" name="Scroll Bar 27" hidden="1">
              <a:extLst>
                <a:ext uri="{63B3BB69-23CF-44E3-9099-C40C66FF867C}">
                  <a14:compatExt spid="_x0000_s12315"/>
                </a:ext>
                <a:ext uri="{FF2B5EF4-FFF2-40B4-BE49-F238E27FC236}">
                  <a16:creationId xmlns:a16="http://schemas.microsoft.com/office/drawing/2014/main" id="{00000000-0008-0000-0300-00001B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257175</xdr:rowOff>
        </xdr:from>
        <xdr:to>
          <xdr:col>6</xdr:col>
          <xdr:colOff>0</xdr:colOff>
          <xdr:row>64</xdr:row>
          <xdr:rowOff>200025</xdr:rowOff>
        </xdr:to>
        <xdr:sp macro="" textlink="">
          <xdr:nvSpPr>
            <xdr:cNvPr id="12316" name="Scroll Bar 28" hidden="1">
              <a:extLst>
                <a:ext uri="{63B3BB69-23CF-44E3-9099-C40C66FF867C}">
                  <a14:compatExt spid="_x0000_s12316"/>
                </a:ext>
                <a:ext uri="{FF2B5EF4-FFF2-40B4-BE49-F238E27FC236}">
                  <a16:creationId xmlns:a16="http://schemas.microsoft.com/office/drawing/2014/main" id="{00000000-0008-0000-0300-00001C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63</xdr:row>
          <xdr:rowOff>238125</xdr:rowOff>
        </xdr:from>
        <xdr:to>
          <xdr:col>7</xdr:col>
          <xdr:colOff>0</xdr:colOff>
          <xdr:row>64</xdr:row>
          <xdr:rowOff>200025</xdr:rowOff>
        </xdr:to>
        <xdr:sp macro="" textlink="">
          <xdr:nvSpPr>
            <xdr:cNvPr id="12317" name="Scroll Bar 29" hidden="1">
              <a:extLst>
                <a:ext uri="{63B3BB69-23CF-44E3-9099-C40C66FF867C}">
                  <a14:compatExt spid="_x0000_s12317"/>
                </a:ext>
                <a:ext uri="{FF2B5EF4-FFF2-40B4-BE49-F238E27FC236}">
                  <a16:creationId xmlns:a16="http://schemas.microsoft.com/office/drawing/2014/main" id="{00000000-0008-0000-0300-00001D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63</xdr:row>
          <xdr:rowOff>238125</xdr:rowOff>
        </xdr:from>
        <xdr:to>
          <xdr:col>8</xdr:col>
          <xdr:colOff>0</xdr:colOff>
          <xdr:row>64</xdr:row>
          <xdr:rowOff>200025</xdr:rowOff>
        </xdr:to>
        <xdr:sp macro="" textlink="">
          <xdr:nvSpPr>
            <xdr:cNvPr id="12318" name="Scroll Bar 30" hidden="1">
              <a:extLst>
                <a:ext uri="{63B3BB69-23CF-44E3-9099-C40C66FF867C}">
                  <a14:compatExt spid="_x0000_s12318"/>
                </a:ext>
                <a:ext uri="{FF2B5EF4-FFF2-40B4-BE49-F238E27FC236}">
                  <a16:creationId xmlns:a16="http://schemas.microsoft.com/office/drawing/2014/main" id="{00000000-0008-0000-0300-00001E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81</xdr:row>
          <xdr:rowOff>9525</xdr:rowOff>
        </xdr:from>
        <xdr:to>
          <xdr:col>4</xdr:col>
          <xdr:colOff>0</xdr:colOff>
          <xdr:row>81</xdr:row>
          <xdr:rowOff>200025</xdr:rowOff>
        </xdr:to>
        <xdr:sp macro="" textlink="">
          <xdr:nvSpPr>
            <xdr:cNvPr id="12319" name="Scroll Bar 31" hidden="1">
              <a:extLst>
                <a:ext uri="{63B3BB69-23CF-44E3-9099-C40C66FF867C}">
                  <a14:compatExt spid="_x0000_s12319"/>
                </a:ext>
                <a:ext uri="{FF2B5EF4-FFF2-40B4-BE49-F238E27FC236}">
                  <a16:creationId xmlns:a16="http://schemas.microsoft.com/office/drawing/2014/main" id="{00000000-0008-0000-0300-00001F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81</xdr:row>
          <xdr:rowOff>9525</xdr:rowOff>
        </xdr:from>
        <xdr:to>
          <xdr:col>5</xdr:col>
          <xdr:colOff>0</xdr:colOff>
          <xdr:row>81</xdr:row>
          <xdr:rowOff>200025</xdr:rowOff>
        </xdr:to>
        <xdr:sp macro="" textlink="">
          <xdr:nvSpPr>
            <xdr:cNvPr id="12320" name="Scroll Bar 32" hidden="1">
              <a:extLst>
                <a:ext uri="{63B3BB69-23CF-44E3-9099-C40C66FF867C}">
                  <a14:compatExt spid="_x0000_s12320"/>
                </a:ext>
                <a:ext uri="{FF2B5EF4-FFF2-40B4-BE49-F238E27FC236}">
                  <a16:creationId xmlns:a16="http://schemas.microsoft.com/office/drawing/2014/main" id="{00000000-0008-0000-0300-000020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81</xdr:row>
          <xdr:rowOff>9525</xdr:rowOff>
        </xdr:from>
        <xdr:to>
          <xdr:col>6</xdr:col>
          <xdr:colOff>0</xdr:colOff>
          <xdr:row>81</xdr:row>
          <xdr:rowOff>200025</xdr:rowOff>
        </xdr:to>
        <xdr:sp macro="" textlink="">
          <xdr:nvSpPr>
            <xdr:cNvPr id="12321" name="Scroll Bar 33" hidden="1">
              <a:extLst>
                <a:ext uri="{63B3BB69-23CF-44E3-9099-C40C66FF867C}">
                  <a14:compatExt spid="_x0000_s12321"/>
                </a:ext>
                <a:ext uri="{FF2B5EF4-FFF2-40B4-BE49-F238E27FC236}">
                  <a16:creationId xmlns:a16="http://schemas.microsoft.com/office/drawing/2014/main" id="{00000000-0008-0000-0300-00002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9525</xdr:rowOff>
        </xdr:from>
        <xdr:to>
          <xdr:col>7</xdr:col>
          <xdr:colOff>0</xdr:colOff>
          <xdr:row>81</xdr:row>
          <xdr:rowOff>200025</xdr:rowOff>
        </xdr:to>
        <xdr:sp macro="" textlink="">
          <xdr:nvSpPr>
            <xdr:cNvPr id="12322" name="Scroll Bar 34" hidden="1">
              <a:extLst>
                <a:ext uri="{63B3BB69-23CF-44E3-9099-C40C66FF867C}">
                  <a14:compatExt spid="_x0000_s12322"/>
                </a:ext>
                <a:ext uri="{FF2B5EF4-FFF2-40B4-BE49-F238E27FC236}">
                  <a16:creationId xmlns:a16="http://schemas.microsoft.com/office/drawing/2014/main" id="{00000000-0008-0000-0300-000022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81</xdr:row>
          <xdr:rowOff>9525</xdr:rowOff>
        </xdr:from>
        <xdr:to>
          <xdr:col>8</xdr:col>
          <xdr:colOff>0</xdr:colOff>
          <xdr:row>81</xdr:row>
          <xdr:rowOff>200025</xdr:rowOff>
        </xdr:to>
        <xdr:sp macro="" textlink="">
          <xdr:nvSpPr>
            <xdr:cNvPr id="12323" name="Scroll Bar 35" hidden="1">
              <a:extLst>
                <a:ext uri="{63B3BB69-23CF-44E3-9099-C40C66FF867C}">
                  <a14:compatExt spid="_x0000_s12323"/>
                </a:ext>
                <a:ext uri="{FF2B5EF4-FFF2-40B4-BE49-F238E27FC236}">
                  <a16:creationId xmlns:a16="http://schemas.microsoft.com/office/drawing/2014/main" id="{00000000-0008-0000-0300-000023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90</xdr:row>
          <xdr:rowOff>9525</xdr:rowOff>
        </xdr:from>
        <xdr:to>
          <xdr:col>4</xdr:col>
          <xdr:colOff>104775</xdr:colOff>
          <xdr:row>90</xdr:row>
          <xdr:rowOff>200025</xdr:rowOff>
        </xdr:to>
        <xdr:sp macro="" textlink="">
          <xdr:nvSpPr>
            <xdr:cNvPr id="12324" name="Scroll Bar 36" hidden="1">
              <a:extLst>
                <a:ext uri="{63B3BB69-23CF-44E3-9099-C40C66FF867C}">
                  <a14:compatExt spid="_x0000_s12324"/>
                </a:ext>
                <a:ext uri="{FF2B5EF4-FFF2-40B4-BE49-F238E27FC236}">
                  <a16:creationId xmlns:a16="http://schemas.microsoft.com/office/drawing/2014/main" id="{00000000-0008-0000-0300-000024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90</xdr:row>
          <xdr:rowOff>9525</xdr:rowOff>
        </xdr:from>
        <xdr:to>
          <xdr:col>5</xdr:col>
          <xdr:colOff>104775</xdr:colOff>
          <xdr:row>90</xdr:row>
          <xdr:rowOff>200025</xdr:rowOff>
        </xdr:to>
        <xdr:sp macro="" textlink="">
          <xdr:nvSpPr>
            <xdr:cNvPr id="12325" name="Scroll Bar 37" hidden="1">
              <a:extLst>
                <a:ext uri="{63B3BB69-23CF-44E3-9099-C40C66FF867C}">
                  <a14:compatExt spid="_x0000_s12325"/>
                </a:ext>
                <a:ext uri="{FF2B5EF4-FFF2-40B4-BE49-F238E27FC236}">
                  <a16:creationId xmlns:a16="http://schemas.microsoft.com/office/drawing/2014/main" id="{00000000-0008-0000-0300-000025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90</xdr:row>
          <xdr:rowOff>9525</xdr:rowOff>
        </xdr:from>
        <xdr:to>
          <xdr:col>6</xdr:col>
          <xdr:colOff>104775</xdr:colOff>
          <xdr:row>90</xdr:row>
          <xdr:rowOff>200025</xdr:rowOff>
        </xdr:to>
        <xdr:sp macro="" textlink="">
          <xdr:nvSpPr>
            <xdr:cNvPr id="12326" name="Scroll Bar 38" hidden="1">
              <a:extLst>
                <a:ext uri="{63B3BB69-23CF-44E3-9099-C40C66FF867C}">
                  <a14:compatExt spid="_x0000_s12326"/>
                </a:ext>
                <a:ext uri="{FF2B5EF4-FFF2-40B4-BE49-F238E27FC236}">
                  <a16:creationId xmlns:a16="http://schemas.microsoft.com/office/drawing/2014/main" id="{00000000-0008-0000-0300-000026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90</xdr:row>
          <xdr:rowOff>9525</xdr:rowOff>
        </xdr:from>
        <xdr:to>
          <xdr:col>7</xdr:col>
          <xdr:colOff>104775</xdr:colOff>
          <xdr:row>90</xdr:row>
          <xdr:rowOff>200025</xdr:rowOff>
        </xdr:to>
        <xdr:sp macro="" textlink="">
          <xdr:nvSpPr>
            <xdr:cNvPr id="12327" name="Scroll Bar 39" hidden="1">
              <a:extLst>
                <a:ext uri="{63B3BB69-23CF-44E3-9099-C40C66FF867C}">
                  <a14:compatExt spid="_x0000_s12327"/>
                </a:ext>
                <a:ext uri="{FF2B5EF4-FFF2-40B4-BE49-F238E27FC236}">
                  <a16:creationId xmlns:a16="http://schemas.microsoft.com/office/drawing/2014/main" id="{00000000-0008-0000-0300-000027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90</xdr:row>
          <xdr:rowOff>9525</xdr:rowOff>
        </xdr:from>
        <xdr:to>
          <xdr:col>8</xdr:col>
          <xdr:colOff>104775</xdr:colOff>
          <xdr:row>90</xdr:row>
          <xdr:rowOff>200025</xdr:rowOff>
        </xdr:to>
        <xdr:sp macro="" textlink="">
          <xdr:nvSpPr>
            <xdr:cNvPr id="12328" name="Scroll Bar 40" hidden="1">
              <a:extLst>
                <a:ext uri="{63B3BB69-23CF-44E3-9099-C40C66FF867C}">
                  <a14:compatExt spid="_x0000_s12328"/>
                </a:ext>
                <a:ext uri="{FF2B5EF4-FFF2-40B4-BE49-F238E27FC236}">
                  <a16:creationId xmlns:a16="http://schemas.microsoft.com/office/drawing/2014/main" id="{00000000-0008-0000-0300-000028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107</xdr:row>
          <xdr:rowOff>9525</xdr:rowOff>
        </xdr:from>
        <xdr:to>
          <xdr:col>4</xdr:col>
          <xdr:colOff>0</xdr:colOff>
          <xdr:row>107</xdr:row>
          <xdr:rowOff>200025</xdr:rowOff>
        </xdr:to>
        <xdr:sp macro="" textlink="">
          <xdr:nvSpPr>
            <xdr:cNvPr id="12329" name="Scroll Bar 41" hidden="1">
              <a:extLst>
                <a:ext uri="{63B3BB69-23CF-44E3-9099-C40C66FF867C}">
                  <a14:compatExt spid="_x0000_s12329"/>
                </a:ext>
                <a:ext uri="{FF2B5EF4-FFF2-40B4-BE49-F238E27FC236}">
                  <a16:creationId xmlns:a16="http://schemas.microsoft.com/office/drawing/2014/main" id="{00000000-0008-0000-0300-000029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107</xdr:row>
          <xdr:rowOff>9525</xdr:rowOff>
        </xdr:from>
        <xdr:to>
          <xdr:col>5</xdr:col>
          <xdr:colOff>0</xdr:colOff>
          <xdr:row>107</xdr:row>
          <xdr:rowOff>200025</xdr:rowOff>
        </xdr:to>
        <xdr:sp macro="" textlink="">
          <xdr:nvSpPr>
            <xdr:cNvPr id="12330" name="Scroll Bar 42" hidden="1">
              <a:extLst>
                <a:ext uri="{63B3BB69-23CF-44E3-9099-C40C66FF867C}">
                  <a14:compatExt spid="_x0000_s12330"/>
                </a:ext>
                <a:ext uri="{FF2B5EF4-FFF2-40B4-BE49-F238E27FC236}">
                  <a16:creationId xmlns:a16="http://schemas.microsoft.com/office/drawing/2014/main" id="{00000000-0008-0000-0300-00002A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107</xdr:row>
          <xdr:rowOff>9525</xdr:rowOff>
        </xdr:from>
        <xdr:to>
          <xdr:col>6</xdr:col>
          <xdr:colOff>0</xdr:colOff>
          <xdr:row>107</xdr:row>
          <xdr:rowOff>200025</xdr:rowOff>
        </xdr:to>
        <xdr:sp macro="" textlink="">
          <xdr:nvSpPr>
            <xdr:cNvPr id="12331" name="Scroll Bar 43" hidden="1">
              <a:extLst>
                <a:ext uri="{63B3BB69-23CF-44E3-9099-C40C66FF867C}">
                  <a14:compatExt spid="_x0000_s12331"/>
                </a:ext>
                <a:ext uri="{FF2B5EF4-FFF2-40B4-BE49-F238E27FC236}">
                  <a16:creationId xmlns:a16="http://schemas.microsoft.com/office/drawing/2014/main" id="{00000000-0008-0000-0300-00002B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107</xdr:row>
          <xdr:rowOff>9525</xdr:rowOff>
        </xdr:from>
        <xdr:to>
          <xdr:col>7</xdr:col>
          <xdr:colOff>0</xdr:colOff>
          <xdr:row>107</xdr:row>
          <xdr:rowOff>200025</xdr:rowOff>
        </xdr:to>
        <xdr:sp macro="" textlink="">
          <xdr:nvSpPr>
            <xdr:cNvPr id="12332" name="Scroll Bar 44" hidden="1">
              <a:extLst>
                <a:ext uri="{63B3BB69-23CF-44E3-9099-C40C66FF867C}">
                  <a14:compatExt spid="_x0000_s12332"/>
                </a:ext>
                <a:ext uri="{FF2B5EF4-FFF2-40B4-BE49-F238E27FC236}">
                  <a16:creationId xmlns:a16="http://schemas.microsoft.com/office/drawing/2014/main" id="{00000000-0008-0000-0300-00002C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3048000</xdr:colOff>
          <xdr:row>107</xdr:row>
          <xdr:rowOff>9525</xdr:rowOff>
        </xdr:from>
        <xdr:to>
          <xdr:col>8</xdr:col>
          <xdr:colOff>0</xdr:colOff>
          <xdr:row>107</xdr:row>
          <xdr:rowOff>200025</xdr:rowOff>
        </xdr:to>
        <xdr:sp macro="" textlink="">
          <xdr:nvSpPr>
            <xdr:cNvPr id="12333" name="Scroll Bar 45" hidden="1">
              <a:extLst>
                <a:ext uri="{63B3BB69-23CF-44E3-9099-C40C66FF867C}">
                  <a14:compatExt spid="_x0000_s12333"/>
                </a:ext>
                <a:ext uri="{FF2B5EF4-FFF2-40B4-BE49-F238E27FC236}">
                  <a16:creationId xmlns:a16="http://schemas.microsoft.com/office/drawing/2014/main" id="{00000000-0008-0000-0300-00002D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115</xdr:row>
          <xdr:rowOff>238125</xdr:rowOff>
        </xdr:from>
        <xdr:to>
          <xdr:col>4</xdr:col>
          <xdr:colOff>9525</xdr:colOff>
          <xdr:row>116</xdr:row>
          <xdr:rowOff>200025</xdr:rowOff>
        </xdr:to>
        <xdr:sp macro="" textlink="">
          <xdr:nvSpPr>
            <xdr:cNvPr id="12334" name="Scroll Bar 46" hidden="1">
              <a:extLst>
                <a:ext uri="{63B3BB69-23CF-44E3-9099-C40C66FF867C}">
                  <a14:compatExt spid="_x0000_s12334"/>
                </a:ext>
                <a:ext uri="{FF2B5EF4-FFF2-40B4-BE49-F238E27FC236}">
                  <a16:creationId xmlns:a16="http://schemas.microsoft.com/office/drawing/2014/main" id="{00000000-0008-0000-0300-00002E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115</xdr:row>
          <xdr:rowOff>238125</xdr:rowOff>
        </xdr:from>
        <xdr:to>
          <xdr:col>5</xdr:col>
          <xdr:colOff>0</xdr:colOff>
          <xdr:row>116</xdr:row>
          <xdr:rowOff>200025</xdr:rowOff>
        </xdr:to>
        <xdr:sp macro="" textlink="">
          <xdr:nvSpPr>
            <xdr:cNvPr id="12335" name="Scroll Bar 47" hidden="1">
              <a:extLst>
                <a:ext uri="{63B3BB69-23CF-44E3-9099-C40C66FF867C}">
                  <a14:compatExt spid="_x0000_s12335"/>
                </a:ext>
                <a:ext uri="{FF2B5EF4-FFF2-40B4-BE49-F238E27FC236}">
                  <a16:creationId xmlns:a16="http://schemas.microsoft.com/office/drawing/2014/main" id="{00000000-0008-0000-0300-00002F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115</xdr:row>
          <xdr:rowOff>238125</xdr:rowOff>
        </xdr:from>
        <xdr:to>
          <xdr:col>6</xdr:col>
          <xdr:colOff>0</xdr:colOff>
          <xdr:row>116</xdr:row>
          <xdr:rowOff>200025</xdr:rowOff>
        </xdr:to>
        <xdr:sp macro="" textlink="">
          <xdr:nvSpPr>
            <xdr:cNvPr id="12336" name="Scroll Bar 48" hidden="1">
              <a:extLst>
                <a:ext uri="{63B3BB69-23CF-44E3-9099-C40C66FF867C}">
                  <a14:compatExt spid="_x0000_s12336"/>
                </a:ext>
                <a:ext uri="{FF2B5EF4-FFF2-40B4-BE49-F238E27FC236}">
                  <a16:creationId xmlns:a16="http://schemas.microsoft.com/office/drawing/2014/main" id="{00000000-0008-0000-0300-000030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115</xdr:row>
          <xdr:rowOff>238125</xdr:rowOff>
        </xdr:from>
        <xdr:to>
          <xdr:col>7</xdr:col>
          <xdr:colOff>0</xdr:colOff>
          <xdr:row>116</xdr:row>
          <xdr:rowOff>200025</xdr:rowOff>
        </xdr:to>
        <xdr:sp macro="" textlink="">
          <xdr:nvSpPr>
            <xdr:cNvPr id="12337" name="Scroll Bar 49" hidden="1">
              <a:extLst>
                <a:ext uri="{63B3BB69-23CF-44E3-9099-C40C66FF867C}">
                  <a14:compatExt spid="_x0000_s12337"/>
                </a:ext>
                <a:ext uri="{FF2B5EF4-FFF2-40B4-BE49-F238E27FC236}">
                  <a16:creationId xmlns:a16="http://schemas.microsoft.com/office/drawing/2014/main" id="{00000000-0008-0000-0300-00003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115</xdr:row>
          <xdr:rowOff>238125</xdr:rowOff>
        </xdr:from>
        <xdr:to>
          <xdr:col>8</xdr:col>
          <xdr:colOff>0</xdr:colOff>
          <xdr:row>116</xdr:row>
          <xdr:rowOff>200025</xdr:rowOff>
        </xdr:to>
        <xdr:sp macro="" textlink="">
          <xdr:nvSpPr>
            <xdr:cNvPr id="12338" name="Scroll Bar 50" hidden="1">
              <a:extLst>
                <a:ext uri="{63B3BB69-23CF-44E3-9099-C40C66FF867C}">
                  <a14:compatExt spid="_x0000_s12338"/>
                </a:ext>
                <a:ext uri="{FF2B5EF4-FFF2-40B4-BE49-F238E27FC236}">
                  <a16:creationId xmlns:a16="http://schemas.microsoft.com/office/drawing/2014/main" id="{00000000-0008-0000-0300-000032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2257425</xdr:colOff>
          <xdr:row>133</xdr:row>
          <xdr:rowOff>9525</xdr:rowOff>
        </xdr:from>
        <xdr:to>
          <xdr:col>4</xdr:col>
          <xdr:colOff>0</xdr:colOff>
          <xdr:row>133</xdr:row>
          <xdr:rowOff>200025</xdr:rowOff>
        </xdr:to>
        <xdr:sp macro="" textlink="">
          <xdr:nvSpPr>
            <xdr:cNvPr id="12339" name="Scroll Bar 51" hidden="1">
              <a:extLst>
                <a:ext uri="{63B3BB69-23CF-44E3-9099-C40C66FF867C}">
                  <a14:compatExt spid="_x0000_s12339"/>
                </a:ext>
                <a:ext uri="{FF2B5EF4-FFF2-40B4-BE49-F238E27FC236}">
                  <a16:creationId xmlns:a16="http://schemas.microsoft.com/office/drawing/2014/main" id="{00000000-0008-0000-0300-000033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3048000</xdr:colOff>
          <xdr:row>133</xdr:row>
          <xdr:rowOff>9525</xdr:rowOff>
        </xdr:from>
        <xdr:to>
          <xdr:col>5</xdr:col>
          <xdr:colOff>0</xdr:colOff>
          <xdr:row>133</xdr:row>
          <xdr:rowOff>200025</xdr:rowOff>
        </xdr:to>
        <xdr:sp macro="" textlink="">
          <xdr:nvSpPr>
            <xdr:cNvPr id="12340" name="Scroll Bar 52" hidden="1">
              <a:extLst>
                <a:ext uri="{63B3BB69-23CF-44E3-9099-C40C66FF867C}">
                  <a14:compatExt spid="_x0000_s12340"/>
                </a:ext>
                <a:ext uri="{FF2B5EF4-FFF2-40B4-BE49-F238E27FC236}">
                  <a16:creationId xmlns:a16="http://schemas.microsoft.com/office/drawing/2014/main" id="{00000000-0008-0000-0300-000034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133</xdr:row>
          <xdr:rowOff>9525</xdr:rowOff>
        </xdr:from>
        <xdr:to>
          <xdr:col>6</xdr:col>
          <xdr:colOff>0</xdr:colOff>
          <xdr:row>133</xdr:row>
          <xdr:rowOff>200025</xdr:rowOff>
        </xdr:to>
        <xdr:sp macro="" textlink="">
          <xdr:nvSpPr>
            <xdr:cNvPr id="12341" name="Scroll Bar 53" hidden="1">
              <a:extLst>
                <a:ext uri="{63B3BB69-23CF-44E3-9099-C40C66FF867C}">
                  <a14:compatExt spid="_x0000_s12341"/>
                </a:ext>
                <a:ext uri="{FF2B5EF4-FFF2-40B4-BE49-F238E27FC236}">
                  <a16:creationId xmlns:a16="http://schemas.microsoft.com/office/drawing/2014/main" id="{00000000-0008-0000-0300-000035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9525</xdr:rowOff>
        </xdr:from>
        <xdr:to>
          <xdr:col>7</xdr:col>
          <xdr:colOff>0</xdr:colOff>
          <xdr:row>133</xdr:row>
          <xdr:rowOff>200025</xdr:rowOff>
        </xdr:to>
        <xdr:sp macro="" textlink="">
          <xdr:nvSpPr>
            <xdr:cNvPr id="12342" name="Scroll Bar 54" hidden="1">
              <a:extLst>
                <a:ext uri="{63B3BB69-23CF-44E3-9099-C40C66FF867C}">
                  <a14:compatExt spid="_x0000_s12342"/>
                </a:ext>
                <a:ext uri="{FF2B5EF4-FFF2-40B4-BE49-F238E27FC236}">
                  <a16:creationId xmlns:a16="http://schemas.microsoft.com/office/drawing/2014/main" id="{00000000-0008-0000-0300-000036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133</xdr:row>
          <xdr:rowOff>9525</xdr:rowOff>
        </xdr:from>
        <xdr:to>
          <xdr:col>8</xdr:col>
          <xdr:colOff>0</xdr:colOff>
          <xdr:row>133</xdr:row>
          <xdr:rowOff>200025</xdr:rowOff>
        </xdr:to>
        <xdr:sp macro="" textlink="">
          <xdr:nvSpPr>
            <xdr:cNvPr id="12343" name="Scroll Bar 55" hidden="1">
              <a:extLst>
                <a:ext uri="{63B3BB69-23CF-44E3-9099-C40C66FF867C}">
                  <a14:compatExt spid="_x0000_s12343"/>
                </a:ext>
                <a:ext uri="{FF2B5EF4-FFF2-40B4-BE49-F238E27FC236}">
                  <a16:creationId xmlns:a16="http://schemas.microsoft.com/office/drawing/2014/main" id="{00000000-0008-0000-0300-000037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2257425</xdr:colOff>
          <xdr:row>142</xdr:row>
          <xdr:rowOff>9525</xdr:rowOff>
        </xdr:from>
        <xdr:to>
          <xdr:col>4</xdr:col>
          <xdr:colOff>0</xdr:colOff>
          <xdr:row>142</xdr:row>
          <xdr:rowOff>200025</xdr:rowOff>
        </xdr:to>
        <xdr:sp macro="" textlink="">
          <xdr:nvSpPr>
            <xdr:cNvPr id="12344" name="Scroll Bar 56" hidden="1">
              <a:extLst>
                <a:ext uri="{63B3BB69-23CF-44E3-9099-C40C66FF867C}">
                  <a14:compatExt spid="_x0000_s12344"/>
                </a:ext>
                <a:ext uri="{FF2B5EF4-FFF2-40B4-BE49-F238E27FC236}">
                  <a16:creationId xmlns:a16="http://schemas.microsoft.com/office/drawing/2014/main" id="{00000000-0008-0000-0300-000038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3038475</xdr:colOff>
          <xdr:row>142</xdr:row>
          <xdr:rowOff>9525</xdr:rowOff>
        </xdr:from>
        <xdr:to>
          <xdr:col>5</xdr:col>
          <xdr:colOff>0</xdr:colOff>
          <xdr:row>142</xdr:row>
          <xdr:rowOff>200025</xdr:rowOff>
        </xdr:to>
        <xdr:sp macro="" textlink="">
          <xdr:nvSpPr>
            <xdr:cNvPr id="12345" name="Scroll Bar 57" hidden="1">
              <a:extLst>
                <a:ext uri="{63B3BB69-23CF-44E3-9099-C40C66FF867C}">
                  <a14:compatExt spid="_x0000_s12345"/>
                </a:ext>
                <a:ext uri="{FF2B5EF4-FFF2-40B4-BE49-F238E27FC236}">
                  <a16:creationId xmlns:a16="http://schemas.microsoft.com/office/drawing/2014/main" id="{00000000-0008-0000-0300-000039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3048000</xdr:colOff>
          <xdr:row>142</xdr:row>
          <xdr:rowOff>9525</xdr:rowOff>
        </xdr:from>
        <xdr:to>
          <xdr:col>6</xdr:col>
          <xdr:colOff>0</xdr:colOff>
          <xdr:row>142</xdr:row>
          <xdr:rowOff>200025</xdr:rowOff>
        </xdr:to>
        <xdr:sp macro="" textlink="">
          <xdr:nvSpPr>
            <xdr:cNvPr id="12346" name="Scroll Bar 58" hidden="1">
              <a:extLst>
                <a:ext uri="{63B3BB69-23CF-44E3-9099-C40C66FF867C}">
                  <a14:compatExt spid="_x0000_s12346"/>
                </a:ext>
                <a:ext uri="{FF2B5EF4-FFF2-40B4-BE49-F238E27FC236}">
                  <a16:creationId xmlns:a16="http://schemas.microsoft.com/office/drawing/2014/main" id="{00000000-0008-0000-0300-00003A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3048000</xdr:colOff>
          <xdr:row>142</xdr:row>
          <xdr:rowOff>9525</xdr:rowOff>
        </xdr:from>
        <xdr:to>
          <xdr:col>7</xdr:col>
          <xdr:colOff>0</xdr:colOff>
          <xdr:row>142</xdr:row>
          <xdr:rowOff>200025</xdr:rowOff>
        </xdr:to>
        <xdr:sp macro="" textlink="">
          <xdr:nvSpPr>
            <xdr:cNvPr id="12347" name="Scroll Bar 59" hidden="1">
              <a:extLst>
                <a:ext uri="{63B3BB69-23CF-44E3-9099-C40C66FF867C}">
                  <a14:compatExt spid="_x0000_s12347"/>
                </a:ext>
                <a:ext uri="{FF2B5EF4-FFF2-40B4-BE49-F238E27FC236}">
                  <a16:creationId xmlns:a16="http://schemas.microsoft.com/office/drawing/2014/main" id="{00000000-0008-0000-0300-00003B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3048000</xdr:colOff>
          <xdr:row>142</xdr:row>
          <xdr:rowOff>9525</xdr:rowOff>
        </xdr:from>
        <xdr:to>
          <xdr:col>8</xdr:col>
          <xdr:colOff>0</xdr:colOff>
          <xdr:row>142</xdr:row>
          <xdr:rowOff>200025</xdr:rowOff>
        </xdr:to>
        <xdr:sp macro="" textlink="">
          <xdr:nvSpPr>
            <xdr:cNvPr id="12348" name="Scroll Bar 60" hidden="1">
              <a:extLst>
                <a:ext uri="{63B3BB69-23CF-44E3-9099-C40C66FF867C}">
                  <a14:compatExt spid="_x0000_s12348"/>
                </a:ext>
                <a:ext uri="{FF2B5EF4-FFF2-40B4-BE49-F238E27FC236}">
                  <a16:creationId xmlns:a16="http://schemas.microsoft.com/office/drawing/2014/main" id="{00000000-0008-0000-0300-00003C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2D3E50"/>
      </a:dk2>
      <a:lt2>
        <a:srgbClr val="B9B9C0"/>
      </a:lt2>
      <a:accent1>
        <a:srgbClr val="2B7FBC"/>
      </a:accent1>
      <a:accent2>
        <a:srgbClr val="F05A22"/>
      </a:accent2>
      <a:accent3>
        <a:srgbClr val="E42864"/>
      </a:accent3>
      <a:accent4>
        <a:srgbClr val="4454A4"/>
      </a:accent4>
      <a:accent5>
        <a:srgbClr val="FFC000"/>
      </a:accent5>
      <a:accent6>
        <a:srgbClr val="70AD47"/>
      </a:accent6>
      <a:hlink>
        <a:srgbClr val="0563C1"/>
      </a:hlink>
      <a:folHlink>
        <a:srgbClr val="954F72"/>
      </a:folHlink>
    </a:clrScheme>
    <a:fontScheme name="Custom 1">
      <a:majorFont>
        <a:latin typeface="Century Gothic"/>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0-10-27T10:20:11.16" personId="{00000000-0000-0000-0000-000000000000}" id="{855C3C70-3490-B14E-B94D-01D6ABAA9C90}">
    <text>Your aerobic threshold (AeT), also known as ventilatory threshold 1, is an intensity when exercise begins to feel harder. This point also signifies when carbohydrate usage starts to take over from fat as the predominant fuel source and lactic acid starts begins to be produced. If you had a lactate test this would be just above &lt;2mmol/L of blood lactate.</text>
  </threadedComment>
  <threadedComment ref="G9" dT="2020-10-27T10:20:50.63" personId="{00000000-0000-0000-0000-000000000000}" id="{940AC775-FC2D-EF41-8ACF-781A29BC50D3}">
    <text>Your anaerobic threshold (AnT) is the functional portion of your VO2 max. This is where you should be performing your threshold work and longer intervals. Used interchangeably with your ventilatory (VT2), or lactate threshold (LT), measuring this tells us what intensity (pace/ power) you can sustain for 30-60mins, where better trained athletes are able to hold this point for longer.</text>
  </threadedComment>
  <threadedComment ref="H9" dT="2020-10-27T10:25:08.14" personId="{00000000-0000-0000-0000-000000000000}" id="{FDBA5B13-BD90-9543-9598-39C34D364657}">
    <text>The speed at your anaerobic threshold (AnT) is how fast you can run for roughly 45mins.</text>
  </threadedComment>
  <threadedComment ref="I9" dT="2020-10-27T10:25:23.19" personId="{00000000-0000-0000-0000-000000000000}" id="{1CD6CC39-7460-4A48-B96B-4BE6FDAB49E5}">
    <text>Your VO2 max is the maximum amount of oxygen you can inhale and use per minute. Your VO2 max is essentially the size of your endurance engine and is known as the benchmark of aerobic performance. You can hold this intensity for roughly 5-8mins.</text>
  </threadedComment>
  <threadedComment ref="J9" dT="2020-10-27T10:26:12.41" personId="{00000000-0000-0000-0000-000000000000}" id="{AEF663E6-0AB2-8E45-99FC-5BDC18D6D9F6}">
    <text>Your velocity at VO2Max is the minimum speed you have to run  at to reach your VO2Max</text>
  </threadedComment>
  <threadedComment ref="K9" dT="2020-10-27T10:28:14.46" personId="{00000000-0000-0000-0000-000000000000}" id="{BC97FE4B-42C5-7544-951B-3F8BC4168975}">
    <text>Your fractional utilisation represents the proportion of your AnT of your VO2Max, or more simply how much of your VO2Max you can sustain. A higher fractional  utilisation  indicates you  can use a high proportion of your VO2Max and is a key marker for endurance performance.</text>
  </threadedComment>
  <threadedComment ref="L30" dT="2020-10-29T06:09:26.38" personId="{00000000-0000-0000-0000-000000000000}" id="{E82DA76F-6DED-4443-B7F4-CD6EFE0F4C1C}">
    <text>Your metabolic efficiency point is the intensity you switch from predominantly fat as a fuel to carbohydrates. A higher MEP is particularly good for endurance athletes.</text>
  </threadedComment>
  <threadedComment ref="J45" dT="2020-10-27T12:47:58.92" personId="{00000000-0000-0000-0000-000000000000}" id="{BDA4FDD4-3433-B242-8486-EA67B81C24E9}">
    <text>Improve VO2Max with Zone 2 work and Zone 5 intervals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mailto:3.Power@A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7" Type="http://schemas.openxmlformats.org/officeDocument/2006/relationships/ctrlProp" Target="../ctrlProps/ctrlProp4.xml"/><Relationship Id="rId2" Type="http://schemas.openxmlformats.org/officeDocument/2006/relationships/drawing" Target="../drawings/drawing4.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2.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1" Type="http://schemas.openxmlformats.org/officeDocument/2006/relationships/hyperlink" Target="http://www.boxnutrition.co.uk/" TargetMode="External"/><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E3AC-22E9-4EC3-925A-032234505C83}">
  <dimension ref="B2:T68"/>
  <sheetViews>
    <sheetView showGridLines="0" tabSelected="1" topLeftCell="F1" zoomScale="82" zoomScaleNormal="82" workbookViewId="0">
      <selection activeCell="O19" sqref="O19"/>
    </sheetView>
  </sheetViews>
  <sheetFormatPr defaultColWidth="8.77734375" defaultRowHeight="17.25"/>
  <cols>
    <col min="1" max="1" width="8.77734375" style="45"/>
    <col min="2" max="2" width="14.44140625" style="45" customWidth="1"/>
    <col min="3" max="3" width="14.33203125" style="45" customWidth="1"/>
    <col min="4" max="5" width="11.109375" style="45" customWidth="1"/>
    <col min="6" max="6" width="8.77734375" style="45"/>
    <col min="7" max="7" width="18.44140625" style="45" customWidth="1"/>
    <col min="8" max="11" width="8.77734375" style="45"/>
    <col min="12" max="12" width="12.44140625" style="45" bestFit="1" customWidth="1"/>
    <col min="13" max="13" width="11.109375" style="45" bestFit="1" customWidth="1"/>
    <col min="14" max="14" width="6.33203125" style="45" customWidth="1"/>
    <col min="15" max="15" width="26.44140625" style="45" customWidth="1"/>
    <col min="16" max="16" width="12.6640625" style="45" customWidth="1"/>
    <col min="17" max="18" width="15.33203125" style="46" customWidth="1"/>
    <col min="19" max="19" width="8.77734375" style="46"/>
    <col min="20" max="16384" width="8.77734375" style="45"/>
  </cols>
  <sheetData>
    <row r="2" spans="2:20">
      <c r="B2" s="353" t="s">
        <v>6</v>
      </c>
      <c r="C2" s="354"/>
    </row>
    <row r="3" spans="2:20">
      <c r="B3" s="47" t="s">
        <v>59</v>
      </c>
      <c r="C3" s="294">
        <v>43994</v>
      </c>
    </row>
    <row r="4" spans="2:20">
      <c r="B4" s="48" t="s">
        <v>7</v>
      </c>
      <c r="C4" s="295" t="s">
        <v>499</v>
      </c>
      <c r="D4" s="4"/>
      <c r="E4" s="4"/>
      <c r="G4" s="47" t="s">
        <v>14</v>
      </c>
      <c r="H4" s="49" t="s">
        <v>15</v>
      </c>
      <c r="I4" s="49" t="s">
        <v>16</v>
      </c>
      <c r="J4" s="49" t="s">
        <v>490</v>
      </c>
      <c r="K4" s="49"/>
      <c r="L4" s="49"/>
      <c r="M4" s="50"/>
      <c r="O4" s="51"/>
      <c r="P4" s="355" t="s">
        <v>23</v>
      </c>
      <c r="Q4" s="355"/>
      <c r="R4" s="51" t="s">
        <v>24</v>
      </c>
      <c r="S4" s="355" t="s">
        <v>503</v>
      </c>
      <c r="T4" s="355"/>
    </row>
    <row r="5" spans="2:20">
      <c r="B5" s="48" t="s">
        <v>8</v>
      </c>
      <c r="C5" s="296" t="s">
        <v>500</v>
      </c>
      <c r="D5" s="1"/>
      <c r="E5" s="1"/>
      <c r="G5" s="52" t="s">
        <v>17</v>
      </c>
      <c r="H5" s="289">
        <v>55</v>
      </c>
      <c r="I5" s="289">
        <v>178</v>
      </c>
      <c r="J5" s="334">
        <v>350</v>
      </c>
      <c r="K5" s="53"/>
      <c r="L5" s="53"/>
      <c r="M5" s="54"/>
      <c r="O5" s="55" t="s">
        <v>27</v>
      </c>
      <c r="P5" s="56">
        <v>0</v>
      </c>
      <c r="Q5" s="304">
        <v>99</v>
      </c>
      <c r="R5" s="303">
        <v>5.6</v>
      </c>
      <c r="S5" s="346">
        <f>J6*0.55</f>
        <v>123.75000000000001</v>
      </c>
      <c r="T5" s="346"/>
    </row>
    <row r="6" spans="2:20">
      <c r="B6" s="48" t="s">
        <v>9</v>
      </c>
      <c r="C6" s="297">
        <v>34</v>
      </c>
      <c r="D6" s="2"/>
      <c r="E6" s="2"/>
      <c r="G6" s="57" t="s">
        <v>18</v>
      </c>
      <c r="H6" s="290">
        <v>41.6</v>
      </c>
      <c r="I6" s="290">
        <v>137</v>
      </c>
      <c r="J6" s="335">
        <v>225</v>
      </c>
      <c r="K6" s="53"/>
      <c r="L6" s="53"/>
      <c r="M6" s="59"/>
      <c r="O6" s="60" t="s">
        <v>28</v>
      </c>
      <c r="P6" s="304">
        <v>100</v>
      </c>
      <c r="Q6" s="56">
        <f>I7</f>
        <v>110</v>
      </c>
      <c r="R6" s="303">
        <v>9</v>
      </c>
      <c r="S6" s="337">
        <f>S5+1</f>
        <v>124.75000000000001</v>
      </c>
      <c r="T6" s="45">
        <f>J6*0.74</f>
        <v>166.5</v>
      </c>
    </row>
    <row r="7" spans="2:20">
      <c r="B7" s="48" t="s">
        <v>10</v>
      </c>
      <c r="C7" s="298">
        <v>184</v>
      </c>
      <c r="D7" s="3"/>
      <c r="E7" s="3"/>
      <c r="G7" s="57" t="s">
        <v>19</v>
      </c>
      <c r="H7" s="290">
        <v>25</v>
      </c>
      <c r="I7" s="290">
        <v>110</v>
      </c>
      <c r="J7" s="335">
        <v>96</v>
      </c>
      <c r="K7" s="53"/>
      <c r="L7" s="53"/>
      <c r="M7" s="59"/>
      <c r="O7" s="61" t="s">
        <v>29</v>
      </c>
      <c r="P7" s="56">
        <f>Q6+1</f>
        <v>111</v>
      </c>
      <c r="Q7" s="56">
        <f>I6*0.95</f>
        <v>130.15</v>
      </c>
      <c r="R7" s="303">
        <v>15.2</v>
      </c>
      <c r="S7" s="45">
        <f>T6+1</f>
        <v>167.5</v>
      </c>
      <c r="T7" s="45">
        <f>J6*0.89</f>
        <v>200.25</v>
      </c>
    </row>
    <row r="8" spans="2:20">
      <c r="B8" s="48" t="s">
        <v>11</v>
      </c>
      <c r="C8" s="299">
        <v>89</v>
      </c>
      <c r="D8" s="62"/>
      <c r="E8" s="62"/>
      <c r="G8" s="57" t="s">
        <v>20</v>
      </c>
      <c r="H8" s="290"/>
      <c r="I8" s="290">
        <v>96</v>
      </c>
      <c r="J8" s="291"/>
      <c r="K8" s="63"/>
      <c r="L8" s="58"/>
      <c r="M8" s="59"/>
      <c r="O8" s="64" t="s">
        <v>30</v>
      </c>
      <c r="P8" s="56">
        <f>Q7+1</f>
        <v>131.15</v>
      </c>
      <c r="Q8" s="56">
        <f>I6+2</f>
        <v>139</v>
      </c>
      <c r="R8" s="303">
        <v>18.3</v>
      </c>
      <c r="S8" s="45">
        <f>T7+1</f>
        <v>201.25</v>
      </c>
      <c r="T8" s="45">
        <f>J6*1.04</f>
        <v>234</v>
      </c>
    </row>
    <row r="9" spans="2:20">
      <c r="B9" s="48" t="s">
        <v>50</v>
      </c>
      <c r="C9" s="299">
        <v>85</v>
      </c>
      <c r="D9" s="65"/>
      <c r="E9" s="320" t="s">
        <v>480</v>
      </c>
      <c r="F9" s="321" t="s">
        <v>481</v>
      </c>
      <c r="G9" s="319" t="s">
        <v>53</v>
      </c>
      <c r="H9" s="290"/>
      <c r="I9" s="290">
        <v>0</v>
      </c>
      <c r="J9" s="291"/>
      <c r="K9" s="63"/>
      <c r="L9" s="58"/>
      <c r="M9" s="59"/>
      <c r="O9" s="66" t="s">
        <v>31</v>
      </c>
      <c r="P9" s="56">
        <f>Q8+1</f>
        <v>140</v>
      </c>
      <c r="Q9" s="56">
        <f>I5</f>
        <v>178</v>
      </c>
      <c r="R9" s="336">
        <v>19</v>
      </c>
      <c r="S9" s="45">
        <f>T8+1</f>
        <v>235</v>
      </c>
      <c r="T9" s="337">
        <f>J5</f>
        <v>350</v>
      </c>
    </row>
    <row r="10" spans="2:20">
      <c r="B10" s="48" t="s">
        <v>12</v>
      </c>
      <c r="C10" s="300">
        <v>0.18</v>
      </c>
      <c r="D10" s="62"/>
      <c r="E10" s="62"/>
      <c r="G10" s="67" t="s">
        <v>52</v>
      </c>
      <c r="H10" s="292">
        <v>180</v>
      </c>
      <c r="I10" s="292"/>
      <c r="J10" s="293"/>
      <c r="K10" s="69"/>
      <c r="L10" s="68"/>
      <c r="M10" s="70"/>
      <c r="O10" s="71" t="s">
        <v>32</v>
      </c>
      <c r="P10" s="56">
        <f>Q9+1</f>
        <v>179</v>
      </c>
      <c r="Q10" s="72">
        <f>H10</f>
        <v>180</v>
      </c>
      <c r="R10" s="336">
        <v>20</v>
      </c>
      <c r="S10" s="45">
        <f>T9+1</f>
        <v>351</v>
      </c>
    </row>
    <row r="11" spans="2:20">
      <c r="B11" s="48" t="s">
        <v>13</v>
      </c>
      <c r="C11" s="301">
        <v>2200</v>
      </c>
    </row>
    <row r="12" spans="2:20">
      <c r="B12" s="48" t="s">
        <v>67</v>
      </c>
      <c r="C12" s="301" t="s">
        <v>65</v>
      </c>
      <c r="G12" s="433"/>
      <c r="H12" s="434"/>
      <c r="I12" s="434"/>
      <c r="J12" s="434"/>
    </row>
    <row r="13" spans="2:20">
      <c r="B13" s="73" t="s">
        <v>62</v>
      </c>
      <c r="C13" s="302">
        <v>1.2</v>
      </c>
      <c r="G13" s="432"/>
      <c r="H13" s="74"/>
      <c r="I13" s="432"/>
      <c r="J13" s="435"/>
      <c r="O13" s="356" t="s">
        <v>120</v>
      </c>
      <c r="P13" s="356"/>
    </row>
    <row r="14" spans="2:20">
      <c r="G14" s="432"/>
      <c r="H14" s="74"/>
      <c r="I14" s="432"/>
      <c r="J14" s="435"/>
      <c r="M14" s="75"/>
      <c r="O14" s="25" t="s">
        <v>113</v>
      </c>
      <c r="P14" s="95" t="s">
        <v>125</v>
      </c>
    </row>
    <row r="15" spans="2:20">
      <c r="G15" s="432"/>
      <c r="H15" s="74"/>
      <c r="I15" s="432"/>
      <c r="J15" s="435"/>
      <c r="M15" s="76"/>
      <c r="O15" s="25" t="s">
        <v>114</v>
      </c>
      <c r="P15" s="95" t="s">
        <v>125</v>
      </c>
    </row>
    <row r="16" spans="2:20">
      <c r="O16" s="25" t="s">
        <v>115</v>
      </c>
      <c r="P16" s="95" t="s">
        <v>125</v>
      </c>
    </row>
    <row r="17" spans="2:18">
      <c r="O17" s="25" t="s">
        <v>116</v>
      </c>
      <c r="P17" s="95" t="s">
        <v>125</v>
      </c>
      <c r="R17" s="46" t="s">
        <v>501</v>
      </c>
    </row>
    <row r="18" spans="2:18" ht="28.5">
      <c r="B18" s="77"/>
      <c r="C18" s="78" t="s">
        <v>1</v>
      </c>
      <c r="D18" s="79" t="s">
        <v>484</v>
      </c>
      <c r="E18" s="79" t="s">
        <v>485</v>
      </c>
      <c r="F18" s="80" t="s">
        <v>483</v>
      </c>
      <c r="G18" s="80" t="s">
        <v>491</v>
      </c>
      <c r="H18" s="81" t="s">
        <v>495</v>
      </c>
      <c r="I18" s="82" t="s">
        <v>2</v>
      </c>
      <c r="J18" s="82" t="s">
        <v>2</v>
      </c>
      <c r="K18" s="82" t="s">
        <v>22</v>
      </c>
      <c r="O18" s="25" t="s">
        <v>117</v>
      </c>
      <c r="P18" s="95" t="s">
        <v>125</v>
      </c>
    </row>
    <row r="19" spans="2:18">
      <c r="B19" s="77"/>
      <c r="C19" s="78" t="s">
        <v>15</v>
      </c>
      <c r="D19" s="79" t="str">
        <f>H4</f>
        <v>ml/kg/min</v>
      </c>
      <c r="E19" s="79" t="str">
        <f>J4</f>
        <v>Watts</v>
      </c>
      <c r="F19" s="80" t="str">
        <f>H4</f>
        <v>ml/kg/min</v>
      </c>
      <c r="G19" s="80" t="str">
        <f>J4</f>
        <v>Watts</v>
      </c>
      <c r="H19" s="81" t="s">
        <v>496</v>
      </c>
      <c r="I19" s="82"/>
      <c r="J19" s="82"/>
      <c r="K19" s="82" t="s">
        <v>0</v>
      </c>
      <c r="O19" s="25" t="s">
        <v>118</v>
      </c>
      <c r="P19" s="95" t="s">
        <v>126</v>
      </c>
    </row>
    <row r="20" spans="2:18">
      <c r="B20" s="83" t="s">
        <v>5</v>
      </c>
      <c r="C20" s="84">
        <f>H7</f>
        <v>25</v>
      </c>
      <c r="D20" s="85">
        <f>H6</f>
        <v>41.6</v>
      </c>
      <c r="E20" s="431">
        <f>J6</f>
        <v>225</v>
      </c>
      <c r="F20" s="85">
        <f>H5</f>
        <v>55</v>
      </c>
      <c r="G20" s="86">
        <f>J5</f>
        <v>350</v>
      </c>
      <c r="H20" s="86">
        <f>J5/C8</f>
        <v>3.9325842696629212</v>
      </c>
      <c r="I20" s="87">
        <f>C10</f>
        <v>0.18</v>
      </c>
      <c r="J20" s="87">
        <f>C10</f>
        <v>0.18</v>
      </c>
      <c r="K20" s="88">
        <f>H6/H5</f>
        <v>0.75636363636363635</v>
      </c>
      <c r="O20" s="25" t="s">
        <v>122</v>
      </c>
      <c r="P20" s="95" t="s">
        <v>125</v>
      </c>
    </row>
    <row r="21" spans="2:18">
      <c r="B21" s="89" t="s">
        <v>3</v>
      </c>
      <c r="C21" s="305">
        <v>40</v>
      </c>
      <c r="D21" s="306">
        <v>50</v>
      </c>
      <c r="E21" s="306">
        <v>300</v>
      </c>
      <c r="F21" s="306">
        <v>60</v>
      </c>
      <c r="G21" s="307">
        <v>400</v>
      </c>
      <c r="H21" s="308">
        <v>6</v>
      </c>
      <c r="I21" s="309">
        <v>0.1</v>
      </c>
      <c r="J21" s="309">
        <v>0.1</v>
      </c>
      <c r="K21" s="310">
        <v>0.95</v>
      </c>
      <c r="O21" s="25" t="s">
        <v>119</v>
      </c>
      <c r="P21" s="95" t="s">
        <v>126</v>
      </c>
    </row>
    <row r="22" spans="2:18">
      <c r="B22" s="89" t="s">
        <v>21</v>
      </c>
      <c r="C22" s="90">
        <f t="shared" ref="C22:H22" si="0">IFERROR(C20/C21,0)</f>
        <v>0.625</v>
      </c>
      <c r="D22" s="90">
        <f t="shared" si="0"/>
        <v>0.83200000000000007</v>
      </c>
      <c r="E22" s="90">
        <f t="shared" si="0"/>
        <v>0.75</v>
      </c>
      <c r="F22" s="90">
        <f t="shared" si="0"/>
        <v>0.91666666666666663</v>
      </c>
      <c r="G22" s="91">
        <f t="shared" si="0"/>
        <v>0.875</v>
      </c>
      <c r="H22" s="91">
        <f t="shared" si="0"/>
        <v>0.65543071161048683</v>
      </c>
      <c r="I22" s="90">
        <f>IFERROR(I21/I20,0)</f>
        <v>0.55555555555555558</v>
      </c>
      <c r="J22" s="90">
        <f>IFERROR(J21/J20,0)</f>
        <v>0.55555555555555558</v>
      </c>
      <c r="K22" s="90">
        <f>IFERROR(K20/K21,0)</f>
        <v>0.79617224880382775</v>
      </c>
      <c r="O22" s="25" t="s">
        <v>121</v>
      </c>
      <c r="P22" s="95" t="s">
        <v>125</v>
      </c>
    </row>
    <row r="23" spans="2:18">
      <c r="B23" s="77"/>
      <c r="C23" s="92">
        <f t="shared" ref="C23:H23" si="1">MIN(1,1-C22)</f>
        <v>0.375</v>
      </c>
      <c r="D23" s="92">
        <f t="shared" si="1"/>
        <v>0.16799999999999993</v>
      </c>
      <c r="E23" s="92">
        <f t="shared" si="1"/>
        <v>0.25</v>
      </c>
      <c r="F23" s="92">
        <f t="shared" si="1"/>
        <v>8.333333333333337E-2</v>
      </c>
      <c r="G23" s="93">
        <f t="shared" si="1"/>
        <v>0.125</v>
      </c>
      <c r="H23" s="93">
        <f t="shared" si="1"/>
        <v>0.34456928838951317</v>
      </c>
      <c r="I23" s="92"/>
      <c r="J23" s="92">
        <f>MIN(1,1-J22)</f>
        <v>0.44444444444444442</v>
      </c>
      <c r="K23" s="92">
        <f>MIN(1,1-K22)</f>
        <v>0.20382775119617225</v>
      </c>
    </row>
    <row r="24" spans="2:18">
      <c r="B24" s="94"/>
    </row>
    <row r="25" spans="2:18">
      <c r="B25" s="94"/>
    </row>
    <row r="26" spans="2:18">
      <c r="B26" s="94"/>
    </row>
    <row r="27" spans="2:18">
      <c r="B27" s="94" t="s">
        <v>64</v>
      </c>
      <c r="C27" s="45">
        <v>0.7</v>
      </c>
      <c r="D27" s="45">
        <v>0.5</v>
      </c>
    </row>
    <row r="28" spans="2:18">
      <c r="B28" s="94" t="s">
        <v>65</v>
      </c>
      <c r="C28" s="45">
        <v>0.85</v>
      </c>
      <c r="D28" s="45">
        <v>0.7</v>
      </c>
    </row>
    <row r="29" spans="2:18">
      <c r="B29" s="45" t="s">
        <v>66</v>
      </c>
      <c r="C29" s="45">
        <v>1</v>
      </c>
      <c r="D29" s="45">
        <v>0.85</v>
      </c>
    </row>
    <row r="30" spans="2:18">
      <c r="B30" s="45" t="s">
        <v>63</v>
      </c>
      <c r="C30" s="45">
        <v>1.2</v>
      </c>
      <c r="D30" s="45">
        <v>1</v>
      </c>
    </row>
    <row r="32" spans="2:18" ht="18.95" customHeight="1">
      <c r="B32" s="96" t="s">
        <v>68</v>
      </c>
    </row>
    <row r="33" spans="2:8" ht="18.95" customHeight="1">
      <c r="B33" s="97" t="s">
        <v>69</v>
      </c>
    </row>
    <row r="34" spans="2:8" ht="18.95" customHeight="1">
      <c r="B34" s="96" t="s">
        <v>70</v>
      </c>
    </row>
    <row r="35" spans="2:8" ht="18.95" customHeight="1">
      <c r="B35" s="96" t="s">
        <v>71</v>
      </c>
    </row>
    <row r="36" spans="2:8" ht="18.95" customHeight="1">
      <c r="B36" s="98" t="s">
        <v>72</v>
      </c>
    </row>
    <row r="37" spans="2:8">
      <c r="B37" s="94"/>
    </row>
    <row r="38" spans="2:8">
      <c r="B38" s="94" t="s">
        <v>74</v>
      </c>
      <c r="C38" s="45">
        <v>1</v>
      </c>
    </row>
    <row r="39" spans="2:8">
      <c r="B39" s="94" t="s">
        <v>75</v>
      </c>
      <c r="C39" s="45">
        <v>1.2</v>
      </c>
    </row>
    <row r="40" spans="2:8">
      <c r="B40" s="45" t="s">
        <v>76</v>
      </c>
      <c r="C40" s="45">
        <v>1.5</v>
      </c>
    </row>
    <row r="41" spans="2:8">
      <c r="B41" s="94" t="s">
        <v>77</v>
      </c>
      <c r="C41" s="45">
        <v>1.7</v>
      </c>
    </row>
    <row r="44" spans="2:8">
      <c r="B44" s="45" t="s">
        <v>106</v>
      </c>
      <c r="C44" s="45">
        <v>1.4</v>
      </c>
      <c r="D44" s="45" t="s">
        <v>107</v>
      </c>
      <c r="E44" s="45">
        <v>1</v>
      </c>
      <c r="G44" s="45" t="s">
        <v>108</v>
      </c>
      <c r="H44" s="45">
        <v>0.7</v>
      </c>
    </row>
    <row r="45" spans="2:8">
      <c r="C45" s="45">
        <v>1.5</v>
      </c>
      <c r="E45" s="45">
        <v>1.5</v>
      </c>
      <c r="H45" s="45">
        <v>0.8</v>
      </c>
    </row>
    <row r="46" spans="2:8">
      <c r="C46" s="45">
        <v>1.6</v>
      </c>
      <c r="E46" s="45">
        <v>2</v>
      </c>
      <c r="H46" s="45">
        <v>0.9</v>
      </c>
    </row>
    <row r="47" spans="2:8">
      <c r="C47" s="45">
        <v>1.7</v>
      </c>
      <c r="E47" s="45">
        <v>2.5</v>
      </c>
      <c r="H47" s="45">
        <v>1</v>
      </c>
    </row>
    <row r="48" spans="2:8">
      <c r="C48" s="45">
        <v>1.8</v>
      </c>
      <c r="E48" s="45">
        <v>3</v>
      </c>
      <c r="H48" s="45">
        <v>1.1000000000000001</v>
      </c>
    </row>
    <row r="49" spans="3:8">
      <c r="C49" s="45">
        <v>1.9</v>
      </c>
      <c r="E49" s="45">
        <v>3.5</v>
      </c>
      <c r="H49" s="45">
        <v>1.2</v>
      </c>
    </row>
    <row r="50" spans="3:8">
      <c r="C50" s="45">
        <v>2</v>
      </c>
      <c r="E50" s="45">
        <v>4</v>
      </c>
    </row>
    <row r="51" spans="3:8">
      <c r="C51" s="45">
        <v>2.1</v>
      </c>
      <c r="E51" s="45">
        <v>4.5</v>
      </c>
    </row>
    <row r="52" spans="3:8">
      <c r="C52" s="45">
        <v>2.2000000000000002</v>
      </c>
      <c r="E52" s="45">
        <v>5</v>
      </c>
    </row>
    <row r="53" spans="3:8">
      <c r="C53" s="45">
        <v>2.2999999999999998</v>
      </c>
      <c r="E53" s="45">
        <v>5.5</v>
      </c>
    </row>
    <row r="54" spans="3:8">
      <c r="C54" s="45">
        <v>2.4</v>
      </c>
      <c r="E54" s="45">
        <v>6</v>
      </c>
    </row>
    <row r="55" spans="3:8">
      <c r="E55" s="45">
        <v>6.5</v>
      </c>
    </row>
    <row r="56" spans="3:8">
      <c r="E56" s="45">
        <v>7</v>
      </c>
    </row>
    <row r="57" spans="3:8">
      <c r="E57" s="45">
        <v>7.5</v>
      </c>
    </row>
    <row r="58" spans="3:8">
      <c r="E58" s="45">
        <v>8</v>
      </c>
    </row>
    <row r="59" spans="3:8">
      <c r="E59" s="45">
        <v>8.5</v>
      </c>
    </row>
    <row r="60" spans="3:8">
      <c r="E60" s="45">
        <v>9</v>
      </c>
    </row>
    <row r="61" spans="3:8">
      <c r="E61" s="45">
        <v>9.5</v>
      </c>
    </row>
    <row r="62" spans="3:8">
      <c r="E62" s="45">
        <v>10</v>
      </c>
    </row>
    <row r="68" spans="3:3">
      <c r="C68" s="45" t="s">
        <v>494</v>
      </c>
    </row>
  </sheetData>
  <sheetProtection selectLockedCells="1" selectUnlockedCells="1"/>
  <mergeCells count="4">
    <mergeCell ref="B2:C2"/>
    <mergeCell ref="P4:Q4"/>
    <mergeCell ref="O13:P13"/>
    <mergeCell ref="S4:T4"/>
  </mergeCells>
  <dataValidations count="3">
    <dataValidation type="list" allowBlank="1" showInputMessage="1" showErrorMessage="1" sqref="C5:E5" xr:uid="{B8EAD26C-83EA-41C5-879B-68359014CF47}">
      <formula1>"Female,Male"</formula1>
    </dataValidation>
    <dataValidation type="list" allowBlank="1" showInputMessage="1" showErrorMessage="1" sqref="C12" xr:uid="{FCF71CDE-64D3-B142-98DA-1587ACCC51BF}">
      <formula1>$B$27:$B$30</formula1>
    </dataValidation>
    <dataValidation type="list" allowBlank="1" showInputMessage="1" showErrorMessage="1" sqref="C13" xr:uid="{87EB94A3-72E2-C94A-85AA-0B9DD34E0269}">
      <formula1>$C$38:$C$41</formula1>
    </dataValidation>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3B4D-DE8E-427C-B5F4-43898B1B837D}">
  <dimension ref="B3:F16"/>
  <sheetViews>
    <sheetView topLeftCell="A4" workbookViewId="0">
      <selection activeCell="L12" sqref="L12"/>
    </sheetView>
  </sheetViews>
  <sheetFormatPr defaultRowHeight="17.25"/>
  <sheetData>
    <row r="3" spans="2:6" ht="18" thickBot="1">
      <c r="B3" s="440"/>
      <c r="C3" s="439">
        <v>1</v>
      </c>
      <c r="D3" s="439">
        <v>2</v>
      </c>
      <c r="E3" s="439">
        <v>3</v>
      </c>
      <c r="F3" s="441"/>
    </row>
    <row r="4" spans="2:6">
      <c r="B4" s="438"/>
      <c r="C4" s="436"/>
      <c r="D4" s="436"/>
      <c r="E4" s="436"/>
    </row>
    <row r="5" spans="2:6">
      <c r="B5" s="438" t="s">
        <v>512</v>
      </c>
      <c r="C5" s="436"/>
      <c r="D5" s="436"/>
      <c r="E5" s="436"/>
    </row>
    <row r="6" spans="2:6">
      <c r="B6" s="438"/>
      <c r="C6" s="436"/>
      <c r="D6" s="436"/>
      <c r="E6" s="436"/>
    </row>
    <row r="7" spans="2:6">
      <c r="B7" s="438" t="s">
        <v>511</v>
      </c>
      <c r="C7" s="436"/>
      <c r="D7" s="436"/>
      <c r="E7" s="436"/>
    </row>
    <row r="8" spans="2:6">
      <c r="B8" s="438" t="s">
        <v>510</v>
      </c>
      <c r="C8" s="436"/>
      <c r="D8" s="436"/>
      <c r="E8" s="436"/>
    </row>
    <row r="9" spans="2:6">
      <c r="B9" s="438" t="s">
        <v>509</v>
      </c>
      <c r="C9" s="436"/>
      <c r="D9" s="436"/>
      <c r="E9" s="436"/>
    </row>
    <row r="10" spans="2:6">
      <c r="B10" s="438" t="s">
        <v>508</v>
      </c>
      <c r="C10" s="436"/>
      <c r="D10" s="436"/>
      <c r="E10" s="436"/>
    </row>
    <row r="11" spans="2:6">
      <c r="B11" s="438" t="s">
        <v>507</v>
      </c>
      <c r="C11" s="436"/>
      <c r="D11" s="436"/>
      <c r="E11" s="436"/>
    </row>
    <row r="12" spans="2:6">
      <c r="B12" s="438" t="s">
        <v>506</v>
      </c>
      <c r="C12" s="436"/>
      <c r="D12" s="436"/>
      <c r="E12" s="436"/>
    </row>
    <row r="13" spans="2:6">
      <c r="B13" s="438" t="s">
        <v>505</v>
      </c>
      <c r="C13" s="436"/>
      <c r="D13" s="436"/>
      <c r="E13" s="436"/>
    </row>
    <row r="14" spans="2:6">
      <c r="B14" s="437"/>
      <c r="C14" s="436">
        <f>SUM(C7:C13)</f>
        <v>0</v>
      </c>
      <c r="D14" s="436">
        <f>SUM(D7:D13)</f>
        <v>0</v>
      </c>
      <c r="E14" s="436">
        <f>SUM(E7:E13)</f>
        <v>0</v>
      </c>
    </row>
    <row r="15" spans="2:6">
      <c r="B15" s="437"/>
      <c r="C15" s="436"/>
      <c r="D15" s="436"/>
      <c r="E15" s="436"/>
    </row>
    <row r="16" spans="2:6">
      <c r="B16" s="437" t="s">
        <v>504</v>
      </c>
      <c r="C16" s="436">
        <f>(C14+D14+E14)/3</f>
        <v>0</v>
      </c>
      <c r="D16" s="436"/>
      <c r="E16" s="4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16D4E-8C7B-4F8D-93B5-EC884104CD7F}">
  <sheetPr>
    <pageSetUpPr fitToPage="1"/>
  </sheetPr>
  <dimension ref="C3:O62"/>
  <sheetViews>
    <sheetView showGridLines="0" topLeftCell="C24" zoomScale="78" zoomScaleNormal="78" workbookViewId="0">
      <selection activeCell="M21" sqref="M21"/>
    </sheetView>
  </sheetViews>
  <sheetFormatPr defaultColWidth="8.77734375" defaultRowHeight="15.75"/>
  <cols>
    <col min="1" max="1" width="8.77734375" style="25"/>
    <col min="2" max="2" width="27.33203125" style="25" customWidth="1"/>
    <col min="3" max="4" width="4.33203125" style="25" customWidth="1"/>
    <col min="5" max="5" width="14.109375" style="25" customWidth="1"/>
    <col min="6" max="13" width="15.33203125" style="25" customWidth="1"/>
    <col min="14" max="14" width="6" style="25" customWidth="1"/>
    <col min="15" max="15" width="9.44140625" style="25" customWidth="1"/>
    <col min="16" max="16384" width="8.77734375" style="25"/>
  </cols>
  <sheetData>
    <row r="3" spans="3:14" ht="35.1" customHeight="1"/>
    <row r="4" spans="3:14" ht="13.5" customHeight="1" thickBot="1">
      <c r="D4" s="26"/>
      <c r="E4" s="26"/>
      <c r="F4" s="26"/>
      <c r="G4" s="26"/>
      <c r="H4" s="26"/>
      <c r="I4" s="26"/>
      <c r="J4" s="26"/>
      <c r="K4" s="26"/>
      <c r="L4" s="26"/>
      <c r="M4" s="26"/>
      <c r="N4" s="26"/>
    </row>
    <row r="5" spans="3:14" ht="54.95" customHeight="1">
      <c r="C5" s="322"/>
      <c r="D5" s="323"/>
      <c r="E5" s="323"/>
      <c r="F5" s="323"/>
      <c r="G5" s="323"/>
      <c r="H5" s="323"/>
      <c r="I5" s="323"/>
      <c r="J5" s="323"/>
      <c r="K5" s="323"/>
      <c r="L5" s="323"/>
      <c r="M5" s="323"/>
      <c r="N5" s="324"/>
    </row>
    <row r="6" spans="3:14" ht="23.25">
      <c r="C6" s="325"/>
      <c r="D6" s="166"/>
      <c r="E6" s="166"/>
      <c r="F6" s="167" t="s">
        <v>4</v>
      </c>
      <c r="G6" s="166"/>
      <c r="H6" s="168" t="str">
        <f>F17</f>
        <v>Jack Braniff</v>
      </c>
      <c r="I6" s="166"/>
      <c r="J6" s="169"/>
      <c r="K6" s="170"/>
      <c r="L6" s="166"/>
      <c r="M6" s="171" t="s">
        <v>56</v>
      </c>
      <c r="N6" s="326"/>
    </row>
    <row r="7" spans="3:14" ht="9.75" customHeight="1">
      <c r="C7" s="325"/>
      <c r="D7" s="166"/>
      <c r="E7" s="166"/>
      <c r="F7" s="166"/>
      <c r="G7" s="166"/>
      <c r="H7" s="166"/>
      <c r="I7" s="166"/>
      <c r="J7" s="166"/>
      <c r="K7" s="166"/>
      <c r="L7" s="166"/>
      <c r="M7" s="166"/>
      <c r="N7" s="326"/>
    </row>
    <row r="8" spans="3:14" ht="6" customHeight="1">
      <c r="C8" s="325"/>
      <c r="D8" s="166"/>
      <c r="E8" s="166"/>
      <c r="F8" s="166"/>
      <c r="G8" s="166"/>
      <c r="H8" s="166"/>
      <c r="I8" s="166"/>
      <c r="J8" s="166"/>
      <c r="K8" s="166"/>
      <c r="L8" s="166"/>
      <c r="M8" s="166"/>
      <c r="N8" s="326"/>
    </row>
    <row r="9" spans="3:14" ht="38.25" customHeight="1">
      <c r="C9" s="325"/>
      <c r="D9" s="166"/>
      <c r="E9" s="166"/>
      <c r="F9" s="172" t="s">
        <v>486</v>
      </c>
      <c r="G9" s="173" t="s">
        <v>487</v>
      </c>
      <c r="H9" s="333" t="s">
        <v>493</v>
      </c>
      <c r="I9" s="174" t="s">
        <v>488</v>
      </c>
      <c r="J9" s="174" t="s">
        <v>492</v>
      </c>
      <c r="K9" s="175" t="s">
        <v>489</v>
      </c>
      <c r="L9" s="176" t="str">
        <f>'Test Results'!H18</f>
        <v>Watts per kg</v>
      </c>
      <c r="M9" s="176" t="str">
        <f>'Test Results'!I18</f>
        <v>Body Fat %</v>
      </c>
      <c r="N9" s="326"/>
    </row>
    <row r="10" spans="3:14">
      <c r="C10" s="325"/>
      <c r="D10" s="166"/>
      <c r="E10" s="166"/>
      <c r="F10" s="177" t="str">
        <f>'Test Results'!C19</f>
        <v>ml/kg/min</v>
      </c>
      <c r="G10" s="177" t="str">
        <f>'Test Results'!D19</f>
        <v>ml/kg/min</v>
      </c>
      <c r="H10" s="177" t="str">
        <f>'Test Results'!J4</f>
        <v>Watts</v>
      </c>
      <c r="I10" s="177" t="str">
        <f>'Test Results'!F19</f>
        <v>ml/kg/min</v>
      </c>
      <c r="J10" s="177" t="str">
        <f>'Test Results'!J4</f>
        <v>Watts</v>
      </c>
      <c r="K10" s="178" t="s">
        <v>0</v>
      </c>
      <c r="L10" s="177" t="s">
        <v>497</v>
      </c>
      <c r="M10" s="190" t="s">
        <v>0</v>
      </c>
      <c r="N10" s="326"/>
    </row>
    <row r="11" spans="3:14" ht="20.25" customHeight="1">
      <c r="C11" s="325"/>
      <c r="D11" s="166"/>
      <c r="E11" s="179" t="s">
        <v>5</v>
      </c>
      <c r="F11" s="180">
        <f>'Test Results'!C20</f>
        <v>25</v>
      </c>
      <c r="G11" s="180">
        <f>'Test Results'!D20</f>
        <v>41.6</v>
      </c>
      <c r="H11" s="180">
        <f>'Test Results'!J6</f>
        <v>225</v>
      </c>
      <c r="I11" s="180">
        <f>'Test Results'!F20</f>
        <v>55</v>
      </c>
      <c r="J11" s="180">
        <f>'Test Results'!G20</f>
        <v>350</v>
      </c>
      <c r="K11" s="181">
        <f>'Test Results'!K20</f>
        <v>0.75636363636363635</v>
      </c>
      <c r="L11" s="351">
        <f>'Test Results'!H20</f>
        <v>3.9325842696629212</v>
      </c>
      <c r="M11" s="182">
        <f>'Test Results'!J20</f>
        <v>0.18</v>
      </c>
      <c r="N11" s="326"/>
    </row>
    <row r="12" spans="3:14" ht="20.25" customHeight="1">
      <c r="C12" s="325"/>
      <c r="D12" s="166"/>
      <c r="E12" s="183" t="s">
        <v>478</v>
      </c>
      <c r="F12" s="144">
        <f>'Test Results'!C21</f>
        <v>40</v>
      </c>
      <c r="G12" s="144">
        <f>'Test Results'!D21</f>
        <v>50</v>
      </c>
      <c r="H12" s="144">
        <f>'Test Results'!E21</f>
        <v>300</v>
      </c>
      <c r="I12" s="144">
        <f>'Test Results'!F21</f>
        <v>60</v>
      </c>
      <c r="J12" s="144">
        <f>'Test Results'!G21</f>
        <v>400</v>
      </c>
      <c r="K12" s="184">
        <f>'Test Results'!K21</f>
        <v>0.95</v>
      </c>
      <c r="L12" s="352">
        <f>'Test Results'!H21</f>
        <v>6</v>
      </c>
      <c r="M12" s="185">
        <f>'Test Results'!J21</f>
        <v>0.1</v>
      </c>
      <c r="N12" s="326"/>
    </row>
    <row r="13" spans="3:14" ht="20.25" customHeight="1">
      <c r="C13" s="325"/>
      <c r="D13" s="166"/>
      <c r="E13" s="186" t="s">
        <v>479</v>
      </c>
      <c r="F13" s="187">
        <f>'Test Results'!C22</f>
        <v>0.625</v>
      </c>
      <c r="G13" s="187">
        <f>'Test Results'!D22</f>
        <v>0.83200000000000007</v>
      </c>
      <c r="H13" s="187">
        <f>'Test Results'!E22</f>
        <v>0.75</v>
      </c>
      <c r="I13" s="187">
        <f>'Test Results'!F22</f>
        <v>0.91666666666666663</v>
      </c>
      <c r="J13" s="187">
        <f>'Test Results'!G22</f>
        <v>0.875</v>
      </c>
      <c r="K13" s="188">
        <f>'Test Results'!K22</f>
        <v>0.79617224880382775</v>
      </c>
      <c r="L13" s="187">
        <f>'Test Results'!H22</f>
        <v>0.65543071161048683</v>
      </c>
      <c r="M13" s="187">
        <f>'Test Results'!J22</f>
        <v>0.55555555555555558</v>
      </c>
      <c r="N13" s="326"/>
    </row>
    <row r="14" spans="3:14" ht="21" customHeight="1" thickBot="1">
      <c r="C14" s="325"/>
      <c r="D14" s="166"/>
      <c r="E14" s="166"/>
      <c r="F14" s="189">
        <f>'Test Results'!C23</f>
        <v>0.375</v>
      </c>
      <c r="G14" s="189">
        <f t="shared" ref="G14:M14" si="0">MIN(1,1-G13)</f>
        <v>0.16799999999999993</v>
      </c>
      <c r="H14" s="189">
        <f t="shared" si="0"/>
        <v>0.25</v>
      </c>
      <c r="I14" s="189">
        <f t="shared" si="0"/>
        <v>8.333333333333337E-2</v>
      </c>
      <c r="J14" s="189">
        <f t="shared" si="0"/>
        <v>0.125</v>
      </c>
      <c r="K14" s="189">
        <f t="shared" si="0"/>
        <v>0.20382775119617225</v>
      </c>
      <c r="L14" s="189">
        <f t="shared" si="0"/>
        <v>0.34456928838951317</v>
      </c>
      <c r="M14" s="189">
        <f t="shared" si="0"/>
        <v>0.44444444444444442</v>
      </c>
      <c r="N14" s="326"/>
    </row>
    <row r="15" spans="3:14" ht="21" customHeight="1">
      <c r="C15" s="325"/>
      <c r="D15" s="166"/>
      <c r="E15" s="359" t="s">
        <v>6</v>
      </c>
      <c r="F15" s="360"/>
      <c r="G15" s="166"/>
      <c r="H15" s="166"/>
      <c r="I15" s="166"/>
      <c r="J15" s="166"/>
      <c r="K15" s="166"/>
      <c r="L15" s="166"/>
      <c r="M15" s="166"/>
      <c r="N15" s="326"/>
    </row>
    <row r="16" spans="3:14" ht="21" customHeight="1">
      <c r="C16" s="325"/>
      <c r="D16" s="166"/>
      <c r="E16" s="311" t="s">
        <v>59</v>
      </c>
      <c r="F16" s="312">
        <f>'Test Results'!C3</f>
        <v>43994</v>
      </c>
      <c r="G16" s="166"/>
      <c r="H16" s="166"/>
      <c r="I16" s="166"/>
      <c r="J16" s="166"/>
      <c r="K16" s="166"/>
      <c r="L16" s="166"/>
      <c r="M16" s="166"/>
      <c r="N16" s="326"/>
    </row>
    <row r="17" spans="3:15" ht="21" customHeight="1">
      <c r="C17" s="325"/>
      <c r="D17" s="166"/>
      <c r="E17" s="311" t="s">
        <v>60</v>
      </c>
      <c r="F17" s="313" t="str">
        <f>'Test Results'!C4</f>
        <v>Jack Braniff</v>
      </c>
      <c r="G17" s="166"/>
      <c r="H17" s="166"/>
      <c r="I17" s="166"/>
      <c r="J17" s="166"/>
      <c r="K17" s="166"/>
      <c r="L17" s="166"/>
      <c r="M17" s="166"/>
      <c r="N17" s="326"/>
    </row>
    <row r="18" spans="3:15" ht="21" customHeight="1">
      <c r="C18" s="325"/>
      <c r="D18" s="166"/>
      <c r="E18" s="311" t="s">
        <v>10</v>
      </c>
      <c r="F18" s="314">
        <f>'Test Results'!C7</f>
        <v>184</v>
      </c>
      <c r="G18" s="166"/>
      <c r="H18" s="166"/>
      <c r="I18" s="166"/>
      <c r="J18" s="166"/>
      <c r="K18" s="166"/>
      <c r="L18" s="166"/>
      <c r="M18" s="166"/>
      <c r="N18" s="326"/>
    </row>
    <row r="19" spans="3:15" ht="21" customHeight="1">
      <c r="C19" s="325"/>
      <c r="D19" s="166"/>
      <c r="E19" s="311" t="s">
        <v>475</v>
      </c>
      <c r="F19" s="315">
        <f>'Test Results'!C8</f>
        <v>89</v>
      </c>
      <c r="G19" s="166"/>
      <c r="H19" s="166"/>
      <c r="I19" s="166"/>
      <c r="J19" s="166"/>
      <c r="K19" s="166"/>
      <c r="L19" s="166"/>
      <c r="M19" s="166"/>
      <c r="N19" s="326"/>
      <c r="O19" s="27"/>
    </row>
    <row r="20" spans="3:15" ht="21" customHeight="1">
      <c r="C20" s="325"/>
      <c r="D20" s="166"/>
      <c r="E20" s="311" t="s">
        <v>58</v>
      </c>
      <c r="F20" s="315">
        <f>'Test Results'!C9</f>
        <v>85</v>
      </c>
      <c r="G20" s="166"/>
      <c r="H20" s="166"/>
      <c r="I20" s="166"/>
      <c r="J20" s="166"/>
      <c r="K20" s="166"/>
      <c r="L20" s="166"/>
      <c r="M20" s="166"/>
      <c r="N20" s="326"/>
    </row>
    <row r="21" spans="3:15" ht="21" customHeight="1">
      <c r="C21" s="325"/>
      <c r="D21" s="166"/>
      <c r="E21" s="311" t="s">
        <v>12</v>
      </c>
      <c r="F21" s="316">
        <f>'Test Results'!C10</f>
        <v>0.18</v>
      </c>
      <c r="G21" s="166"/>
      <c r="H21" s="166"/>
      <c r="I21" s="166"/>
      <c r="J21" s="166"/>
      <c r="K21" s="166"/>
      <c r="L21" s="166"/>
      <c r="M21" s="166"/>
      <c r="N21" s="326"/>
    </row>
    <row r="22" spans="3:15" ht="21" customHeight="1" thickBot="1">
      <c r="C22" s="325"/>
      <c r="D22" s="166"/>
      <c r="E22" s="317" t="s">
        <v>13</v>
      </c>
      <c r="F22" s="318">
        <f>'Test Results'!C11</f>
        <v>2200</v>
      </c>
      <c r="G22" s="166"/>
      <c r="H22" s="166"/>
      <c r="I22" s="166"/>
      <c r="J22" s="166"/>
      <c r="K22" s="166"/>
      <c r="L22" s="166"/>
      <c r="M22" s="166"/>
      <c r="N22" s="326"/>
    </row>
    <row r="23" spans="3:15">
      <c r="C23" s="325"/>
      <c r="D23" s="166"/>
      <c r="E23" s="166"/>
      <c r="F23" s="166"/>
      <c r="G23" s="166"/>
      <c r="H23" s="166"/>
      <c r="I23" s="166"/>
      <c r="J23" s="166"/>
      <c r="K23" s="166"/>
      <c r="L23" s="166"/>
      <c r="M23" s="166"/>
      <c r="N23" s="326"/>
    </row>
    <row r="24" spans="3:15">
      <c r="C24" s="325"/>
      <c r="D24" s="166"/>
      <c r="E24" s="166"/>
      <c r="F24" s="166"/>
      <c r="G24" s="166"/>
      <c r="H24" s="166"/>
      <c r="I24" s="166"/>
      <c r="J24" s="166"/>
      <c r="K24" s="166"/>
      <c r="L24" s="362"/>
      <c r="M24" s="362"/>
      <c r="N24" s="326"/>
    </row>
    <row r="25" spans="3:15">
      <c r="C25" s="325"/>
      <c r="D25" s="166"/>
      <c r="E25" s="166"/>
      <c r="F25" s="166"/>
      <c r="G25" s="166"/>
      <c r="H25" s="166"/>
      <c r="I25" s="166"/>
      <c r="J25" s="166"/>
      <c r="K25" s="166"/>
      <c r="L25" s="166"/>
      <c r="M25" s="166"/>
      <c r="N25" s="326"/>
    </row>
    <row r="26" spans="3:15">
      <c r="C26" s="325"/>
      <c r="D26" s="166"/>
      <c r="E26" s="166"/>
      <c r="F26" s="166"/>
      <c r="G26" s="166"/>
      <c r="H26" s="166"/>
      <c r="I26" s="166"/>
      <c r="J26" s="166"/>
      <c r="K26" s="166"/>
      <c r="L26" s="166"/>
      <c r="M26" s="166"/>
      <c r="N26" s="326"/>
    </row>
    <row r="27" spans="3:15" ht="18" customHeight="1">
      <c r="C27" s="325"/>
      <c r="D27" s="166"/>
      <c r="E27" s="166"/>
      <c r="F27" s="166"/>
      <c r="G27" s="166"/>
      <c r="H27" s="166"/>
      <c r="I27" s="166"/>
      <c r="J27" s="166"/>
      <c r="K27" s="166"/>
      <c r="L27" s="375"/>
      <c r="M27" s="375"/>
      <c r="N27" s="326"/>
    </row>
    <row r="28" spans="3:15" ht="18" customHeight="1">
      <c r="C28" s="325"/>
      <c r="D28" s="166"/>
      <c r="E28" s="166"/>
      <c r="F28" s="166"/>
      <c r="G28" s="166"/>
      <c r="H28" s="166"/>
      <c r="I28" s="166"/>
      <c r="J28" s="166"/>
      <c r="K28" s="166"/>
      <c r="L28" s="381"/>
      <c r="M28" s="381"/>
      <c r="N28" s="326"/>
    </row>
    <row r="29" spans="3:15" ht="18" customHeight="1">
      <c r="C29" s="325"/>
      <c r="D29" s="166"/>
      <c r="E29" s="166"/>
      <c r="F29" s="166"/>
      <c r="G29" s="166"/>
      <c r="H29" s="166"/>
      <c r="I29" s="166"/>
      <c r="L29" s="375" t="s">
        <v>482</v>
      </c>
      <c r="M29" s="375"/>
      <c r="N29" s="326"/>
    </row>
    <row r="30" spans="3:15" ht="18" customHeight="1">
      <c r="C30" s="325"/>
      <c r="D30" s="166"/>
      <c r="E30" s="166"/>
      <c r="F30" s="166"/>
      <c r="G30" s="166"/>
      <c r="H30" s="166"/>
      <c r="I30" s="166"/>
      <c r="L30" s="381">
        <f>'Test Results'!I9</f>
        <v>0</v>
      </c>
      <c r="M30" s="381"/>
      <c r="N30" s="327"/>
    </row>
    <row r="31" spans="3:15">
      <c r="C31" s="325"/>
      <c r="D31" s="166"/>
      <c r="E31" s="166"/>
      <c r="F31" s="166"/>
      <c r="G31" s="166"/>
      <c r="H31" s="166"/>
      <c r="I31" s="166"/>
      <c r="J31" s="166"/>
      <c r="K31" s="166"/>
      <c r="L31" s="166"/>
      <c r="M31" s="166"/>
      <c r="N31" s="326"/>
    </row>
    <row r="32" spans="3:15">
      <c r="C32" s="325"/>
      <c r="D32" s="166"/>
      <c r="E32" s="166"/>
      <c r="F32" s="166"/>
      <c r="G32" s="166"/>
      <c r="H32" s="166"/>
      <c r="I32" s="166"/>
      <c r="J32" s="166"/>
      <c r="K32" s="166"/>
      <c r="L32" s="166"/>
      <c r="M32" s="166"/>
      <c r="N32" s="326"/>
    </row>
    <row r="33" spans="3:14">
      <c r="C33" s="325"/>
      <c r="D33" s="166"/>
      <c r="E33" s="166"/>
      <c r="F33" s="166"/>
      <c r="G33" s="166"/>
      <c r="H33" s="166"/>
      <c r="I33" s="166"/>
      <c r="J33" s="166"/>
      <c r="K33" s="166"/>
      <c r="L33" s="166"/>
      <c r="M33" s="166"/>
      <c r="N33" s="326"/>
    </row>
    <row r="34" spans="3:14" ht="21.95" customHeight="1" thickBot="1">
      <c r="C34" s="325"/>
      <c r="D34" s="166"/>
      <c r="E34" s="191"/>
      <c r="F34" s="177"/>
      <c r="G34" s="177"/>
      <c r="H34" s="166"/>
      <c r="I34" s="166"/>
      <c r="J34" s="166"/>
      <c r="K34" s="166"/>
      <c r="L34" s="166"/>
      <c r="M34" s="166"/>
      <c r="N34" s="326"/>
    </row>
    <row r="35" spans="3:14" ht="29.1" customHeight="1">
      <c r="C35" s="325"/>
      <c r="D35" s="166"/>
      <c r="E35" s="359" t="s">
        <v>57</v>
      </c>
      <c r="F35" s="361"/>
      <c r="G35" s="361" t="s">
        <v>23</v>
      </c>
      <c r="H35" s="361"/>
      <c r="I35" s="192" t="s">
        <v>24</v>
      </c>
      <c r="J35" s="376" t="s">
        <v>490</v>
      </c>
      <c r="K35" s="377"/>
      <c r="L35" s="373" t="s">
        <v>498</v>
      </c>
      <c r="M35" s="374"/>
      <c r="N35" s="326"/>
    </row>
    <row r="36" spans="3:14" ht="29.1" customHeight="1">
      <c r="C36" s="325"/>
      <c r="D36" s="166"/>
      <c r="E36" s="365" t="s">
        <v>27</v>
      </c>
      <c r="F36" s="366"/>
      <c r="G36" s="193">
        <f>'Test Results'!P5</f>
        <v>0</v>
      </c>
      <c r="H36" s="193">
        <f>'Test Results'!Q5</f>
        <v>99</v>
      </c>
      <c r="I36" s="193">
        <f>'Test Results'!R5</f>
        <v>5.6</v>
      </c>
      <c r="J36" s="378">
        <f>'Test Results'!S5</f>
        <v>123.75000000000001</v>
      </c>
      <c r="K36" s="379"/>
      <c r="L36" s="425"/>
      <c r="M36" s="426"/>
      <c r="N36" s="326"/>
    </row>
    <row r="37" spans="3:14" ht="29.1" customHeight="1">
      <c r="C37" s="325"/>
      <c r="D37" s="166"/>
      <c r="E37" s="363" t="s">
        <v>28</v>
      </c>
      <c r="F37" s="364"/>
      <c r="G37" s="194">
        <f>'Test Results'!P6</f>
        <v>100</v>
      </c>
      <c r="H37" s="194">
        <f>'Test Results'!Q6</f>
        <v>110</v>
      </c>
      <c r="I37" s="194">
        <f>'Test Results'!R6</f>
        <v>9</v>
      </c>
      <c r="J37" s="338">
        <f>'Test Results'!S6</f>
        <v>124.75000000000001</v>
      </c>
      <c r="K37" s="339">
        <f>'Test Results'!T6</f>
        <v>166.5</v>
      </c>
      <c r="L37" s="427"/>
      <c r="M37" s="428"/>
      <c r="N37" s="326"/>
    </row>
    <row r="38" spans="3:14" ht="29.1" customHeight="1">
      <c r="C38" s="325"/>
      <c r="D38" s="166"/>
      <c r="E38" s="367" t="s">
        <v>29</v>
      </c>
      <c r="F38" s="368"/>
      <c r="G38" s="195">
        <f>'Test Results'!P7</f>
        <v>111</v>
      </c>
      <c r="H38" s="195">
        <f>'Test Results'!Q7</f>
        <v>130.15</v>
      </c>
      <c r="I38" s="195">
        <f>'Test Results'!R7</f>
        <v>15.2</v>
      </c>
      <c r="J38" s="340">
        <f>'Test Results'!S7</f>
        <v>167.5</v>
      </c>
      <c r="K38" s="341">
        <f>'Test Results'!T7</f>
        <v>200.25</v>
      </c>
      <c r="L38" s="427"/>
      <c r="M38" s="428"/>
      <c r="N38" s="326"/>
    </row>
    <row r="39" spans="3:14" ht="29.1" customHeight="1">
      <c r="C39" s="325"/>
      <c r="D39" s="166"/>
      <c r="E39" s="369" t="s">
        <v>30</v>
      </c>
      <c r="F39" s="370"/>
      <c r="G39" s="196">
        <f>'Test Results'!P8</f>
        <v>131.15</v>
      </c>
      <c r="H39" s="196">
        <f>'Test Results'!Q8</f>
        <v>139</v>
      </c>
      <c r="I39" s="196">
        <f>'Test Results'!R8</f>
        <v>18.3</v>
      </c>
      <c r="J39" s="342">
        <f>'Test Results'!S8</f>
        <v>201.25</v>
      </c>
      <c r="K39" s="343">
        <f>'Test Results'!T8</f>
        <v>234</v>
      </c>
      <c r="L39" s="427"/>
      <c r="M39" s="428"/>
      <c r="N39" s="326"/>
    </row>
    <row r="40" spans="3:14" ht="29.1" customHeight="1">
      <c r="C40" s="325"/>
      <c r="D40" s="166"/>
      <c r="E40" s="371" t="s">
        <v>31</v>
      </c>
      <c r="F40" s="372"/>
      <c r="G40" s="197">
        <f>'Test Results'!P9</f>
        <v>140</v>
      </c>
      <c r="H40" s="197">
        <f>'Test Results'!Q9</f>
        <v>178</v>
      </c>
      <c r="I40" s="197">
        <f>'Test Results'!R9</f>
        <v>19</v>
      </c>
      <c r="J40" s="344">
        <f>'Test Results'!S9</f>
        <v>235</v>
      </c>
      <c r="K40" s="345">
        <f>'Test Results'!T9</f>
        <v>350</v>
      </c>
      <c r="L40" s="427"/>
      <c r="M40" s="428"/>
      <c r="N40" s="326"/>
    </row>
    <row r="41" spans="3:14" ht="29.1" customHeight="1" thickBot="1">
      <c r="C41" s="325"/>
      <c r="D41" s="166"/>
      <c r="E41" s="357" t="s">
        <v>32</v>
      </c>
      <c r="F41" s="358"/>
      <c r="G41" s="198">
        <f>'Test Results'!P10</f>
        <v>179</v>
      </c>
      <c r="H41" s="198">
        <f>'Test Results'!Q10</f>
        <v>180</v>
      </c>
      <c r="I41" s="198">
        <f>'Test Results'!R10</f>
        <v>20</v>
      </c>
      <c r="J41" s="347">
        <f>'Test Results'!S10</f>
        <v>351</v>
      </c>
      <c r="K41" s="348">
        <f>'Test Results'!T10</f>
        <v>0</v>
      </c>
      <c r="L41" s="429"/>
      <c r="M41" s="430"/>
      <c r="N41" s="326"/>
    </row>
    <row r="42" spans="3:14" ht="21.95" customHeight="1">
      <c r="C42" s="325"/>
      <c r="D42" s="200"/>
      <c r="E42" s="200"/>
      <c r="F42" s="200"/>
      <c r="G42" s="200"/>
      <c r="H42" s="200"/>
      <c r="I42" s="200"/>
      <c r="J42" s="166"/>
      <c r="K42" s="199"/>
      <c r="L42" s="199"/>
      <c r="M42" s="166"/>
      <c r="N42" s="326"/>
    </row>
    <row r="43" spans="3:14" ht="21.95" customHeight="1">
      <c r="C43" s="325"/>
      <c r="D43" s="200"/>
      <c r="E43" s="200"/>
      <c r="F43" s="200"/>
      <c r="G43" s="200"/>
      <c r="H43" s="200"/>
      <c r="I43" s="200"/>
      <c r="J43" s="380" t="s">
        <v>123</v>
      </c>
      <c r="K43" s="380"/>
      <c r="L43" s="380"/>
      <c r="M43" s="380"/>
      <c r="N43" s="326"/>
    </row>
    <row r="44" spans="3:14" ht="21.95" customHeight="1">
      <c r="C44" s="325"/>
      <c r="D44" s="200"/>
      <c r="E44" s="200"/>
      <c r="F44" s="200"/>
      <c r="G44" s="200"/>
      <c r="H44" s="200"/>
      <c r="I44" s="200"/>
      <c r="J44" s="200"/>
      <c r="K44" s="200"/>
      <c r="L44" s="200"/>
      <c r="M44" s="200"/>
      <c r="N44" s="326"/>
    </row>
    <row r="45" spans="3:14" ht="21.95" customHeight="1">
      <c r="C45" s="325"/>
      <c r="D45" s="200"/>
      <c r="E45" s="200"/>
      <c r="F45" s="200"/>
      <c r="G45" s="200"/>
      <c r="H45" s="200"/>
      <c r="I45" s="200"/>
      <c r="J45" s="200"/>
      <c r="K45" s="200"/>
      <c r="L45" s="200"/>
      <c r="M45" s="200"/>
      <c r="N45" s="326"/>
    </row>
    <row r="46" spans="3:14" ht="21.95" customHeight="1">
      <c r="C46" s="325"/>
      <c r="D46" s="200"/>
      <c r="E46" s="200"/>
      <c r="F46" s="200"/>
      <c r="G46" s="200"/>
      <c r="H46" s="200"/>
      <c r="I46" s="200"/>
      <c r="J46" s="200"/>
      <c r="K46" s="200"/>
      <c r="L46" s="200"/>
      <c r="M46" s="200"/>
      <c r="N46" s="326"/>
    </row>
    <row r="47" spans="3:14" ht="21.95" customHeight="1">
      <c r="C47" s="325"/>
      <c r="D47" s="200"/>
      <c r="E47" s="200"/>
      <c r="F47" s="200"/>
      <c r="G47" s="200"/>
      <c r="H47" s="200"/>
      <c r="I47" s="200"/>
      <c r="J47" s="200"/>
      <c r="K47" s="200"/>
      <c r="L47" s="200"/>
      <c r="M47" s="200"/>
      <c r="N47" s="326"/>
    </row>
    <row r="48" spans="3:14" ht="21.95" customHeight="1">
      <c r="C48" s="325"/>
      <c r="D48" s="200"/>
      <c r="E48" s="200"/>
      <c r="F48" s="200"/>
      <c r="G48" s="200"/>
      <c r="H48" s="200"/>
      <c r="I48" s="200"/>
      <c r="J48" s="200"/>
      <c r="K48" s="200"/>
      <c r="L48" s="200"/>
      <c r="M48" s="200"/>
      <c r="N48" s="326"/>
    </row>
    <row r="49" spans="3:14" ht="21.95" customHeight="1">
      <c r="C49" s="325"/>
      <c r="D49" s="200"/>
      <c r="E49" s="200"/>
      <c r="F49" s="200"/>
      <c r="G49" s="200"/>
      <c r="H49" s="200"/>
      <c r="I49" s="200"/>
      <c r="J49" s="200"/>
      <c r="K49" s="200"/>
      <c r="L49" s="200"/>
      <c r="M49" s="200"/>
      <c r="N49" s="326"/>
    </row>
    <row r="50" spans="3:14" ht="21.95" customHeight="1">
      <c r="C50" s="325"/>
      <c r="D50" s="200"/>
      <c r="E50" s="200"/>
      <c r="F50" s="200"/>
      <c r="G50" s="200"/>
      <c r="H50" s="200"/>
      <c r="I50" s="200"/>
      <c r="J50" s="200"/>
      <c r="K50" s="200"/>
      <c r="L50" s="200"/>
      <c r="M50" s="200"/>
      <c r="N50" s="326"/>
    </row>
    <row r="51" spans="3:14">
      <c r="C51" s="325"/>
      <c r="D51" s="200"/>
      <c r="E51" s="200"/>
      <c r="F51" s="200"/>
      <c r="G51" s="200"/>
      <c r="H51" s="200"/>
      <c r="I51" s="200"/>
      <c r="J51" s="200"/>
      <c r="K51" s="200"/>
      <c r="L51" s="200"/>
      <c r="M51" s="200"/>
      <c r="N51" s="326"/>
    </row>
    <row r="52" spans="3:14">
      <c r="C52" s="325"/>
      <c r="D52" s="200"/>
      <c r="E52" s="200"/>
      <c r="F52" s="200"/>
      <c r="G52" s="200"/>
      <c r="H52" s="200"/>
      <c r="I52" s="200"/>
      <c r="J52" s="200"/>
      <c r="K52" s="200"/>
      <c r="L52" s="200"/>
      <c r="M52" s="200"/>
      <c r="N52" s="326"/>
    </row>
    <row r="53" spans="3:14">
      <c r="C53" s="325"/>
      <c r="D53" s="200"/>
      <c r="E53" s="200"/>
      <c r="F53" s="200"/>
      <c r="G53" s="200"/>
      <c r="H53" s="200"/>
      <c r="I53" s="200"/>
      <c r="J53" s="200"/>
      <c r="K53" s="200"/>
      <c r="L53" s="200"/>
      <c r="M53" s="200"/>
      <c r="N53" s="326"/>
    </row>
    <row r="54" spans="3:14">
      <c r="C54" s="325"/>
      <c r="D54" s="200"/>
      <c r="E54" s="200"/>
      <c r="F54" s="200"/>
      <c r="G54" s="200"/>
      <c r="H54" s="200"/>
      <c r="I54" s="200"/>
      <c r="J54" s="200"/>
      <c r="K54" s="200"/>
      <c r="L54" s="200"/>
      <c r="M54" s="200"/>
      <c r="N54" s="326"/>
    </row>
    <row r="55" spans="3:14">
      <c r="C55" s="325"/>
      <c r="D55" s="200"/>
      <c r="E55" s="200"/>
      <c r="F55" s="200"/>
      <c r="G55" s="200"/>
      <c r="H55" s="200"/>
      <c r="I55" s="200"/>
      <c r="J55" s="200"/>
      <c r="K55" s="200"/>
      <c r="L55" s="200"/>
      <c r="M55" s="200"/>
      <c r="N55" s="326"/>
    </row>
    <row r="56" spans="3:14">
      <c r="C56" s="325"/>
      <c r="D56" s="200"/>
      <c r="E56" s="200"/>
      <c r="F56" s="200"/>
      <c r="G56" s="200"/>
      <c r="H56" s="200"/>
      <c r="I56" s="200"/>
      <c r="J56" s="200"/>
      <c r="K56" s="200"/>
      <c r="L56" s="200"/>
      <c r="M56" s="200"/>
      <c r="N56" s="326"/>
    </row>
    <row r="57" spans="3:14">
      <c r="C57" s="325"/>
      <c r="D57" s="200"/>
      <c r="E57" s="200"/>
      <c r="F57" s="200"/>
      <c r="G57" s="200"/>
      <c r="H57" s="200"/>
      <c r="I57" s="200"/>
      <c r="J57" s="200"/>
      <c r="K57" s="200"/>
      <c r="L57" s="200"/>
      <c r="M57" s="200"/>
      <c r="N57" s="326"/>
    </row>
    <row r="58" spans="3:14">
      <c r="C58" s="325"/>
      <c r="D58" s="200"/>
      <c r="E58" s="200"/>
      <c r="F58" s="200"/>
      <c r="G58" s="200"/>
      <c r="H58" s="200"/>
      <c r="I58" s="200"/>
      <c r="J58" s="166"/>
      <c r="K58" s="166"/>
      <c r="L58" s="166"/>
      <c r="M58" s="166"/>
      <c r="N58" s="326"/>
    </row>
    <row r="59" spans="3:14">
      <c r="C59" s="325"/>
      <c r="D59" s="166"/>
      <c r="E59" s="166"/>
      <c r="F59" s="166"/>
      <c r="G59" s="166"/>
      <c r="H59" s="166"/>
      <c r="I59" s="166"/>
      <c r="J59" s="166"/>
      <c r="K59" s="166"/>
      <c r="L59" s="166"/>
      <c r="M59" s="166"/>
      <c r="N59" s="326"/>
    </row>
    <row r="60" spans="3:14">
      <c r="C60" s="325"/>
      <c r="D60" s="166"/>
      <c r="E60" s="166"/>
      <c r="F60" s="166"/>
      <c r="G60" s="166"/>
      <c r="H60" s="166"/>
      <c r="I60" s="166"/>
      <c r="J60" s="166"/>
      <c r="K60" s="166"/>
      <c r="L60" s="166"/>
      <c r="M60" s="166"/>
      <c r="N60" s="326"/>
    </row>
    <row r="61" spans="3:14">
      <c r="C61" s="325"/>
      <c r="D61" s="166"/>
      <c r="E61" s="166"/>
      <c r="F61" s="166"/>
      <c r="G61" s="166"/>
      <c r="H61" s="166"/>
      <c r="I61" s="166"/>
      <c r="J61" s="166"/>
      <c r="K61" s="166"/>
      <c r="L61" s="166"/>
      <c r="M61" s="166"/>
      <c r="N61" s="326"/>
    </row>
    <row r="62" spans="3:14" ht="16.5" thickBot="1">
      <c r="C62" s="328"/>
      <c r="D62" s="329"/>
      <c r="E62" s="329"/>
      <c r="F62" s="329"/>
      <c r="G62" s="329"/>
      <c r="H62" s="329"/>
      <c r="I62" s="329"/>
      <c r="J62" s="329"/>
      <c r="K62" s="329"/>
      <c r="L62" s="329"/>
      <c r="M62" s="329"/>
      <c r="N62" s="288"/>
    </row>
  </sheetData>
  <sheetProtection selectLockedCells="1" selectUnlockedCells="1"/>
  <mergeCells count="19">
    <mergeCell ref="L28:M28"/>
    <mergeCell ref="L36:M41"/>
    <mergeCell ref="J36:K36"/>
    <mergeCell ref="J43:M43"/>
    <mergeCell ref="L30:M30"/>
    <mergeCell ref="L29:M29"/>
    <mergeCell ref="E41:F41"/>
    <mergeCell ref="E15:F15"/>
    <mergeCell ref="G35:H35"/>
    <mergeCell ref="L24:M24"/>
    <mergeCell ref="E37:F37"/>
    <mergeCell ref="E36:F36"/>
    <mergeCell ref="E35:F35"/>
    <mergeCell ref="E38:F38"/>
    <mergeCell ref="E39:F39"/>
    <mergeCell ref="E40:F40"/>
    <mergeCell ref="L35:M35"/>
    <mergeCell ref="L27:M27"/>
    <mergeCell ref="J35:K35"/>
  </mergeCells>
  <hyperlinks>
    <hyperlink ref="H9" r:id="rId1" display="3.Power@AnT" xr:uid="{99C91BBB-F8E7-1343-965A-DB985F63060F}"/>
  </hyperlinks>
  <pageMargins left="0.7" right="0.7" top="0.75" bottom="0.75" header="0.3" footer="0.3"/>
  <pageSetup paperSize="9" scale="54" orientation="portrait" horizontalDpi="0" verticalDpi="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A7D69-26A2-314D-B044-FC3102A1AC73}">
  <sheetPr>
    <pageSetUpPr fitToPage="1"/>
  </sheetPr>
  <dimension ref="A1:O53"/>
  <sheetViews>
    <sheetView showGridLines="0" topLeftCell="A4" zoomScale="66" zoomScaleNormal="66" workbookViewId="0">
      <selection activeCell="D7" sqref="D7"/>
    </sheetView>
  </sheetViews>
  <sheetFormatPr defaultColWidth="10.77734375" defaultRowHeight="24" customHeight="1"/>
  <cols>
    <col min="1" max="2" width="10.77734375" style="25"/>
    <col min="3" max="3" width="35.109375" style="25" customWidth="1"/>
    <col min="4" max="5" width="18.77734375" style="99" customWidth="1"/>
    <col min="6" max="6" width="10.77734375" style="25" customWidth="1"/>
    <col min="7" max="7" width="21.109375" style="25" customWidth="1"/>
    <col min="8" max="8" width="12.33203125" style="25" customWidth="1"/>
    <col min="9" max="16384" width="10.77734375" style="25"/>
  </cols>
  <sheetData>
    <row r="1" spans="1:15" ht="24" customHeight="1" thickBot="1">
      <c r="A1" s="25" t="s">
        <v>476</v>
      </c>
    </row>
    <row r="2" spans="1:15" ht="24" customHeight="1">
      <c r="C2" s="156" t="s">
        <v>61</v>
      </c>
      <c r="D2" s="157">
        <f>'Test Results'!C9</f>
        <v>85</v>
      </c>
      <c r="H2" s="26"/>
    </row>
    <row r="3" spans="1:15" ht="24" customHeight="1">
      <c r="C3" s="158" t="s">
        <v>13</v>
      </c>
      <c r="D3" s="159">
        <f>'Test Results'!C11</f>
        <v>2200</v>
      </c>
      <c r="H3" s="102" t="s">
        <v>56</v>
      </c>
      <c r="J3" s="103"/>
    </row>
    <row r="4" spans="1:15" ht="24" customHeight="1">
      <c r="C4" s="158" t="s">
        <v>62</v>
      </c>
      <c r="D4" s="160">
        <f>'Test Results'!C13</f>
        <v>1.2</v>
      </c>
      <c r="H4" s="26"/>
      <c r="J4" s="103"/>
    </row>
    <row r="5" spans="1:15" ht="24" customHeight="1">
      <c r="C5" s="161" t="s">
        <v>3</v>
      </c>
      <c r="D5" s="162" t="str">
        <f>'Test Results'!C12</f>
        <v>Weight loss</v>
      </c>
      <c r="H5" s="26"/>
      <c r="J5" s="103"/>
    </row>
    <row r="6" spans="1:15" ht="24" customHeight="1">
      <c r="C6" s="161" t="s">
        <v>73</v>
      </c>
      <c r="D6" s="349">
        <f>('Test Results'!C11*'Test Results'!C13)*VLOOKUP('Test Results'!C12,'Test Results'!$B$27:$C$30,2,0)</f>
        <v>2244</v>
      </c>
      <c r="J6" s="103"/>
    </row>
    <row r="7" spans="1:15" ht="24" customHeight="1" thickBot="1">
      <c r="C7" s="163" t="s">
        <v>78</v>
      </c>
      <c r="D7" s="350">
        <f>(E16*VLOOKUP('Test Results'!C12,'Test Results'!$B$27:$D$30,3,0))+D6</f>
        <v>2685.14</v>
      </c>
    </row>
    <row r="8" spans="1:15" ht="24" customHeight="1" thickBot="1"/>
    <row r="9" spans="1:15" ht="24" customHeight="1">
      <c r="C9" s="104" t="s">
        <v>57</v>
      </c>
      <c r="D9" s="105" t="s">
        <v>26</v>
      </c>
      <c r="E9" s="106" t="s">
        <v>25</v>
      </c>
      <c r="G9" s="391" t="s">
        <v>110</v>
      </c>
      <c r="H9" s="392"/>
      <c r="I9" s="392"/>
      <c r="J9" s="393"/>
    </row>
    <row r="10" spans="1:15" ht="24" customHeight="1">
      <c r="C10" s="107" t="s">
        <v>27</v>
      </c>
      <c r="D10" s="108">
        <v>10</v>
      </c>
      <c r="E10" s="145">
        <f>D10*Profile!I36</f>
        <v>56</v>
      </c>
      <c r="G10" s="101" t="s">
        <v>109</v>
      </c>
      <c r="H10" s="394">
        <v>2685.14</v>
      </c>
      <c r="I10" s="394"/>
      <c r="J10" s="395"/>
      <c r="K10" s="331">
        <f>O10</f>
        <v>2737</v>
      </c>
      <c r="O10" s="330">
        <f>(H13*4)+(I13*4)+(J13*9)</f>
        <v>2737</v>
      </c>
    </row>
    <row r="11" spans="1:15" ht="24" customHeight="1">
      <c r="C11" s="109" t="s">
        <v>28</v>
      </c>
      <c r="D11" s="108">
        <v>15</v>
      </c>
      <c r="E11" s="145">
        <f>D11*Profile!I37</f>
        <v>135</v>
      </c>
      <c r="G11" s="110" t="s">
        <v>112</v>
      </c>
      <c r="H11" s="111" t="s">
        <v>101</v>
      </c>
      <c r="I11" s="111" t="s">
        <v>102</v>
      </c>
      <c r="J11" s="112" t="s">
        <v>103</v>
      </c>
    </row>
    <row r="12" spans="1:15" ht="24" customHeight="1">
      <c r="C12" s="113" t="s">
        <v>29</v>
      </c>
      <c r="D12" s="108"/>
      <c r="E12" s="145">
        <f>D12*Profile!I38</f>
        <v>0</v>
      </c>
      <c r="G12" s="101" t="s">
        <v>104</v>
      </c>
      <c r="H12" s="164">
        <v>1.8</v>
      </c>
      <c r="I12" s="164">
        <v>4</v>
      </c>
      <c r="J12" s="165">
        <v>1</v>
      </c>
    </row>
    <row r="13" spans="1:15" ht="24" customHeight="1">
      <c r="C13" s="114" t="s">
        <v>30</v>
      </c>
      <c r="D13" s="108">
        <v>24</v>
      </c>
      <c r="E13" s="145">
        <f>D13*Profile!I39</f>
        <v>439.20000000000005</v>
      </c>
      <c r="G13" s="101" t="s">
        <v>105</v>
      </c>
      <c r="H13" s="152">
        <f>H12*D2</f>
        <v>153</v>
      </c>
      <c r="I13" s="152">
        <f>D2*I12</f>
        <v>340</v>
      </c>
      <c r="J13" s="153">
        <f>D2*J12</f>
        <v>85</v>
      </c>
      <c r="K13" s="28">
        <f>H14+I14+J14</f>
        <v>1.0193137043133693</v>
      </c>
    </row>
    <row r="14" spans="1:15" ht="24" customHeight="1" thickBot="1">
      <c r="C14" s="115" t="s">
        <v>31</v>
      </c>
      <c r="D14" s="108"/>
      <c r="E14" s="145">
        <f>D14*Profile!I40</f>
        <v>0</v>
      </c>
      <c r="G14" s="116" t="s">
        <v>0</v>
      </c>
      <c r="H14" s="154">
        <f>(H13*4/H10)</f>
        <v>0.22792107674087758</v>
      </c>
      <c r="I14" s="154">
        <f>(I13*4/H10)</f>
        <v>0.50649128164639468</v>
      </c>
      <c r="J14" s="155">
        <f>(J13*9/H10)</f>
        <v>0.28490134592609695</v>
      </c>
    </row>
    <row r="15" spans="1:15" ht="24" customHeight="1">
      <c r="C15" s="117" t="s">
        <v>32</v>
      </c>
      <c r="D15" s="108"/>
      <c r="E15" s="145"/>
    </row>
    <row r="16" spans="1:15" ht="24" customHeight="1" thickBot="1">
      <c r="C16" s="118" t="s">
        <v>502</v>
      </c>
      <c r="D16" s="29"/>
      <c r="E16" s="147">
        <f>SUM(E10:E14)</f>
        <v>630.20000000000005</v>
      </c>
    </row>
    <row r="17" spans="3:10" ht="24" customHeight="1" thickBot="1"/>
    <row r="18" spans="3:10" ht="24" customHeight="1">
      <c r="C18" s="403" t="s">
        <v>33</v>
      </c>
      <c r="D18" s="404"/>
      <c r="E18" s="404"/>
      <c r="F18" s="404"/>
      <c r="G18" s="405"/>
      <c r="H18" s="401" t="s">
        <v>51</v>
      </c>
      <c r="I18" s="399"/>
      <c r="J18" s="400"/>
    </row>
    <row r="19" spans="3:10" ht="24" customHeight="1">
      <c r="C19" s="30" t="s">
        <v>34</v>
      </c>
      <c r="D19" s="402" t="s">
        <v>35</v>
      </c>
      <c r="E19" s="402"/>
      <c r="F19" s="402" t="s">
        <v>36</v>
      </c>
      <c r="G19" s="402"/>
      <c r="H19" s="148" t="s">
        <v>37</v>
      </c>
      <c r="I19" s="149" t="s">
        <v>35</v>
      </c>
      <c r="J19" s="150" t="s">
        <v>38</v>
      </c>
    </row>
    <row r="20" spans="3:10" ht="24" customHeight="1">
      <c r="C20" s="123" t="s">
        <v>39</v>
      </c>
      <c r="D20" s="42">
        <v>1</v>
      </c>
      <c r="E20" s="42">
        <v>4</v>
      </c>
      <c r="F20" s="42">
        <f>'Test Results'!$C$9*D20</f>
        <v>85</v>
      </c>
      <c r="G20" s="42">
        <f>'Test Results'!$C$9*E20</f>
        <v>340</v>
      </c>
      <c r="H20" s="138" t="s">
        <v>40</v>
      </c>
      <c r="I20" s="144">
        <v>1</v>
      </c>
      <c r="J20" s="139">
        <f>I20*'Test Results'!C9</f>
        <v>85</v>
      </c>
    </row>
    <row r="21" spans="3:10" ht="24" customHeight="1">
      <c r="C21" s="123" t="s">
        <v>41</v>
      </c>
      <c r="D21" s="42">
        <v>2</v>
      </c>
      <c r="E21" s="42">
        <v>4</v>
      </c>
      <c r="F21" s="42">
        <f>'Test Results'!$C$9*D21</f>
        <v>170</v>
      </c>
      <c r="G21" s="42">
        <f>'Test Results'!$C$9*E21</f>
        <v>340</v>
      </c>
      <c r="H21" s="138" t="s">
        <v>42</v>
      </c>
      <c r="I21" s="144">
        <v>1</v>
      </c>
      <c r="J21" s="139">
        <f>I21*'Test Results'!C9</f>
        <v>85</v>
      </c>
    </row>
    <row r="22" spans="3:10" ht="24" customHeight="1">
      <c r="C22" s="123" t="s">
        <v>43</v>
      </c>
      <c r="D22" s="42">
        <v>4</v>
      </c>
      <c r="E22" s="42">
        <v>5</v>
      </c>
      <c r="F22" s="42">
        <f>'Test Results'!$C$9*D22</f>
        <v>340</v>
      </c>
      <c r="G22" s="42">
        <f>'Test Results'!$C$9*E22</f>
        <v>425</v>
      </c>
      <c r="H22" s="151"/>
      <c r="I22" s="144"/>
      <c r="J22" s="139"/>
    </row>
    <row r="23" spans="3:10" ht="24" customHeight="1">
      <c r="C23" s="123" t="s">
        <v>44</v>
      </c>
      <c r="D23" s="42">
        <v>5</v>
      </c>
      <c r="E23" s="42">
        <v>6</v>
      </c>
      <c r="F23" s="42">
        <f>'Test Results'!$C$9*D23</f>
        <v>425</v>
      </c>
      <c r="G23" s="42">
        <f>'Test Results'!$C$9*E23</f>
        <v>510</v>
      </c>
      <c r="H23" s="124"/>
      <c r="I23" s="125"/>
      <c r="J23" s="126"/>
    </row>
    <row r="24" spans="3:10" ht="24" customHeight="1">
      <c r="C24" s="123" t="s">
        <v>46</v>
      </c>
      <c r="D24" s="42">
        <v>6</v>
      </c>
      <c r="E24" s="42">
        <v>7</v>
      </c>
      <c r="F24" s="42">
        <f>'Test Results'!$C$9*D24</f>
        <v>510</v>
      </c>
      <c r="G24" s="42">
        <f>'Test Results'!$C$9*E24</f>
        <v>595</v>
      </c>
      <c r="H24" s="127"/>
      <c r="I24" s="125"/>
      <c r="J24" s="122"/>
    </row>
    <row r="25" spans="3:10" ht="24" customHeight="1" thickBot="1">
      <c r="C25" s="128" t="s">
        <v>48</v>
      </c>
      <c r="D25" s="43">
        <v>8</v>
      </c>
      <c r="E25" s="43">
        <v>10</v>
      </c>
      <c r="F25" s="43">
        <f>'Test Results'!$C$9*D25</f>
        <v>680</v>
      </c>
      <c r="G25" s="43">
        <f>'Test Results'!$C$9*E25</f>
        <v>850</v>
      </c>
      <c r="H25" s="129"/>
      <c r="I25" s="130"/>
      <c r="J25" s="131"/>
    </row>
    <row r="26" spans="3:10" ht="24" customHeight="1">
      <c r="F26" s="99"/>
      <c r="G26" s="99"/>
    </row>
    <row r="27" spans="3:10" ht="24" customHeight="1" thickBot="1"/>
    <row r="28" spans="3:10" ht="24" customHeight="1">
      <c r="C28" s="396" t="s">
        <v>79</v>
      </c>
      <c r="D28" s="397"/>
      <c r="E28" s="397"/>
      <c r="F28" s="397"/>
      <c r="G28" s="398"/>
      <c r="H28" s="399" t="s">
        <v>55</v>
      </c>
      <c r="I28" s="399"/>
      <c r="J28" s="400"/>
    </row>
    <row r="29" spans="3:10" ht="24" customHeight="1">
      <c r="C29" s="332" t="s">
        <v>34</v>
      </c>
      <c r="D29" s="389" t="s">
        <v>35</v>
      </c>
      <c r="E29" s="389"/>
      <c r="F29" s="389" t="s">
        <v>80</v>
      </c>
      <c r="G29" s="390"/>
      <c r="H29" s="382" t="s">
        <v>45</v>
      </c>
      <c r="I29" s="383"/>
      <c r="J29" s="384"/>
    </row>
    <row r="30" spans="3:10" ht="24" customHeight="1">
      <c r="C30" s="31" t="s">
        <v>81</v>
      </c>
      <c r="D30" s="32">
        <v>1.4</v>
      </c>
      <c r="E30" s="32">
        <v>1.8</v>
      </c>
      <c r="F30" s="33">
        <f>D30*'Test Results'!$C$9</f>
        <v>118.99999999999999</v>
      </c>
      <c r="G30" s="34">
        <f>E30*'Test Results'!$C$9</f>
        <v>153</v>
      </c>
      <c r="H30" s="144" t="s">
        <v>47</v>
      </c>
      <c r="I30" s="144">
        <v>0.3</v>
      </c>
      <c r="J30" s="145">
        <f>I30*D2</f>
        <v>25.5</v>
      </c>
    </row>
    <row r="31" spans="3:10" ht="24" customHeight="1" thickBot="1">
      <c r="C31" s="35" t="s">
        <v>82</v>
      </c>
      <c r="D31" s="36">
        <v>2</v>
      </c>
      <c r="E31" s="36">
        <v>2.4</v>
      </c>
      <c r="F31" s="37">
        <f>D31*'Test Results'!$C$9</f>
        <v>170</v>
      </c>
      <c r="G31" s="38">
        <f>E31*'Test Results'!$C$9</f>
        <v>204</v>
      </c>
      <c r="H31" s="146" t="s">
        <v>49</v>
      </c>
      <c r="I31" s="146">
        <v>0.5</v>
      </c>
      <c r="J31" s="147">
        <f>I31*D2</f>
        <v>42.5</v>
      </c>
    </row>
    <row r="32" spans="3:10" ht="24" customHeight="1" thickBot="1">
      <c r="C32" s="39"/>
      <c r="D32" s="40"/>
      <c r="E32" s="40"/>
      <c r="F32" s="40"/>
      <c r="G32" s="40"/>
      <c r="H32" s="41"/>
      <c r="I32" s="41"/>
      <c r="J32" s="41"/>
    </row>
    <row r="33" spans="3:10" ht="24" customHeight="1">
      <c r="C33" s="396" t="s">
        <v>83</v>
      </c>
      <c r="D33" s="397"/>
      <c r="E33" s="397"/>
      <c r="F33" s="397"/>
      <c r="G33" s="398"/>
      <c r="H33" s="399" t="s">
        <v>55</v>
      </c>
      <c r="I33" s="399"/>
      <c r="J33" s="400"/>
    </row>
    <row r="34" spans="3:10" ht="24" customHeight="1">
      <c r="C34" s="332" t="s">
        <v>34</v>
      </c>
      <c r="D34" s="389" t="s">
        <v>35</v>
      </c>
      <c r="E34" s="389"/>
      <c r="F34" s="389" t="s">
        <v>84</v>
      </c>
      <c r="G34" s="390"/>
      <c r="H34" s="382" t="s">
        <v>108</v>
      </c>
      <c r="I34" s="383"/>
      <c r="J34" s="384"/>
    </row>
    <row r="35" spans="3:10" ht="24" customHeight="1">
      <c r="C35" s="31" t="s">
        <v>85</v>
      </c>
      <c r="D35" s="32">
        <v>0.7</v>
      </c>
      <c r="E35" s="32">
        <v>1</v>
      </c>
      <c r="F35" s="33">
        <f>D35*'Test Results'!$C$9</f>
        <v>59.499999999999993</v>
      </c>
      <c r="G35" s="34">
        <f>E35*'Test Results'!$C$9</f>
        <v>85</v>
      </c>
      <c r="H35" s="144" t="s">
        <v>47</v>
      </c>
      <c r="I35" s="385" t="s">
        <v>124</v>
      </c>
      <c r="J35" s="386"/>
    </row>
    <row r="36" spans="3:10" ht="24" customHeight="1" thickBot="1">
      <c r="C36" s="35" t="s">
        <v>86</v>
      </c>
      <c r="D36" s="36">
        <v>1</v>
      </c>
      <c r="E36" s="36">
        <v>1.2</v>
      </c>
      <c r="F36" s="37">
        <f>D36*'Test Results'!$C$9</f>
        <v>85</v>
      </c>
      <c r="G36" s="38">
        <f>E36*'Test Results'!$C$9</f>
        <v>102</v>
      </c>
      <c r="H36" s="146" t="s">
        <v>49</v>
      </c>
      <c r="I36" s="387" t="s">
        <v>124</v>
      </c>
      <c r="J36" s="388"/>
    </row>
    <row r="37" spans="3:10" ht="24" customHeight="1" thickBot="1"/>
    <row r="38" spans="3:10" s="121" customFormat="1" ht="24" customHeight="1">
      <c r="C38" s="100" t="s">
        <v>87</v>
      </c>
      <c r="D38" s="119" t="s">
        <v>88</v>
      </c>
      <c r="E38" s="120"/>
      <c r="F38" s="406" t="s">
        <v>120</v>
      </c>
      <c r="G38" s="407"/>
      <c r="H38" s="286"/>
    </row>
    <row r="39" spans="3:10" ht="24" customHeight="1">
      <c r="C39" s="44" t="s">
        <v>471</v>
      </c>
      <c r="D39" s="5">
        <v>4</v>
      </c>
      <c r="F39" s="410" t="s">
        <v>113</v>
      </c>
      <c r="G39" s="411"/>
      <c r="H39" s="287" t="str">
        <f>IFERROR(VLOOKUP('Test Results'!O14,'Test Results'!$O$14:$P$22,2,0),"")</f>
        <v>Y</v>
      </c>
    </row>
    <row r="40" spans="3:10" ht="24" customHeight="1">
      <c r="C40" s="132" t="s">
        <v>474</v>
      </c>
      <c r="D40" s="133">
        <f>H10/D39</f>
        <v>671.28499999999997</v>
      </c>
      <c r="F40" s="410" t="s">
        <v>114</v>
      </c>
      <c r="G40" s="411"/>
      <c r="H40" s="287" t="str">
        <f>IFERROR(VLOOKUP('Test Results'!O15,'Test Results'!$O$14:$P$22,2,0),"")</f>
        <v>Y</v>
      </c>
    </row>
    <row r="41" spans="3:10" ht="24" customHeight="1">
      <c r="C41" s="134" t="s">
        <v>89</v>
      </c>
      <c r="D41" s="135">
        <f>H13/D39</f>
        <v>38.25</v>
      </c>
      <c r="F41" s="410" t="s">
        <v>115</v>
      </c>
      <c r="G41" s="411"/>
      <c r="H41" s="287" t="str">
        <f>IFERROR(VLOOKUP('Test Results'!O16,'Test Results'!$O$14:$P$22,2,0),"")</f>
        <v>Y</v>
      </c>
    </row>
    <row r="42" spans="3:10" ht="24" customHeight="1">
      <c r="C42" s="134" t="s">
        <v>472</v>
      </c>
      <c r="D42" s="135">
        <f>J13/D39</f>
        <v>21.25</v>
      </c>
      <c r="F42" s="410" t="s">
        <v>116</v>
      </c>
      <c r="G42" s="411"/>
      <c r="H42" s="287" t="str">
        <f>IFERROR(VLOOKUP('Test Results'!O17,'Test Results'!$O$14:$P$22,2,0),"")</f>
        <v>Y</v>
      </c>
    </row>
    <row r="43" spans="3:10" ht="24" customHeight="1">
      <c r="C43" s="134" t="s">
        <v>473</v>
      </c>
      <c r="D43" s="135">
        <f>I13/D39</f>
        <v>85</v>
      </c>
      <c r="F43" s="410" t="s">
        <v>117</v>
      </c>
      <c r="G43" s="411"/>
      <c r="H43" s="287" t="str">
        <f>IFERROR(VLOOKUP('Test Results'!O18,'Test Results'!$O$14:$P$22,2,0),"")</f>
        <v>Y</v>
      </c>
    </row>
    <row r="44" spans="3:10" ht="24" customHeight="1">
      <c r="C44" s="134"/>
      <c r="D44" s="135"/>
      <c r="F44" s="410" t="s">
        <v>118</v>
      </c>
      <c r="G44" s="411"/>
      <c r="H44" s="287" t="str">
        <f>IFERROR(VLOOKUP('Test Results'!O19,'Test Results'!$O$14:$P$22,2,0),"")</f>
        <v>N</v>
      </c>
    </row>
    <row r="45" spans="3:10" ht="24" customHeight="1">
      <c r="C45" s="134" t="s">
        <v>90</v>
      </c>
      <c r="D45" s="136">
        <f>SUM('Test Results'!C9/22.5)</f>
        <v>3.7777777777777777</v>
      </c>
      <c r="F45" s="410" t="s">
        <v>122</v>
      </c>
      <c r="G45" s="411"/>
      <c r="H45" s="287" t="str">
        <f>IFERROR(VLOOKUP('Test Results'!O20,'Test Results'!$O$14:$P$22,2,0),"")</f>
        <v>Y</v>
      </c>
    </row>
    <row r="46" spans="3:10" ht="24" customHeight="1">
      <c r="C46" s="134" t="s">
        <v>91</v>
      </c>
      <c r="D46" s="133">
        <f>D6/100</f>
        <v>22.44</v>
      </c>
      <c r="F46" s="410" t="s">
        <v>119</v>
      </c>
      <c r="G46" s="411"/>
      <c r="H46" s="287" t="str">
        <f>IFERROR(VLOOKUP('Test Results'!O21,'Test Results'!$O$14:$P$22,2,0),"")</f>
        <v>N</v>
      </c>
    </row>
    <row r="47" spans="3:10" ht="24" customHeight="1">
      <c r="C47" s="134" t="s">
        <v>92</v>
      </c>
      <c r="D47" s="137">
        <f>CEILING(D6*0.001,0.1)</f>
        <v>2.3000000000000003</v>
      </c>
      <c r="F47" s="410" t="s">
        <v>121</v>
      </c>
      <c r="G47" s="411"/>
      <c r="H47" s="287" t="str">
        <f>IFERROR(VLOOKUP('Test Results'!O22,'Test Results'!$O$14:$P$22,2,0),"")</f>
        <v>Y</v>
      </c>
    </row>
    <row r="48" spans="3:10" ht="24" customHeight="1" thickBot="1">
      <c r="C48" s="134" t="s">
        <v>93</v>
      </c>
      <c r="D48" s="137">
        <f>CEILING(D6*0.00125,0.1)</f>
        <v>2.9000000000000004</v>
      </c>
      <c r="F48" s="408"/>
      <c r="G48" s="409"/>
      <c r="H48" s="288"/>
    </row>
    <row r="49" spans="3:11" ht="24" customHeight="1">
      <c r="C49" s="138"/>
      <c r="D49" s="139"/>
    </row>
    <row r="50" spans="3:11" ht="24" customHeight="1">
      <c r="C50" s="140" t="s">
        <v>94</v>
      </c>
      <c r="D50" s="141" t="s">
        <v>95</v>
      </c>
    </row>
    <row r="51" spans="3:11" ht="24" customHeight="1">
      <c r="C51" s="134" t="s">
        <v>96</v>
      </c>
      <c r="D51" s="137" t="s">
        <v>97</v>
      </c>
      <c r="K51" s="25" t="s">
        <v>477</v>
      </c>
    </row>
    <row r="52" spans="3:11" ht="24" customHeight="1">
      <c r="C52" s="134" t="s">
        <v>98</v>
      </c>
      <c r="D52" s="137" t="s">
        <v>99</v>
      </c>
    </row>
    <row r="53" spans="3:11" ht="24" customHeight="1" thickBot="1">
      <c r="C53" s="142" t="s">
        <v>111</v>
      </c>
      <c r="D53" s="143" t="s">
        <v>100</v>
      </c>
    </row>
  </sheetData>
  <sheetProtection selectLockedCells="1"/>
  <mergeCells count="29">
    <mergeCell ref="F38:G38"/>
    <mergeCell ref="F48:G48"/>
    <mergeCell ref="F39:G39"/>
    <mergeCell ref="F40:G40"/>
    <mergeCell ref="F41:G41"/>
    <mergeCell ref="F42:G42"/>
    <mergeCell ref="F43:G43"/>
    <mergeCell ref="F44:G44"/>
    <mergeCell ref="F45:G45"/>
    <mergeCell ref="F46:G46"/>
    <mergeCell ref="F47:G47"/>
    <mergeCell ref="G9:J9"/>
    <mergeCell ref="H10:J10"/>
    <mergeCell ref="C28:G28"/>
    <mergeCell ref="C33:G33"/>
    <mergeCell ref="H29:J29"/>
    <mergeCell ref="H28:J28"/>
    <mergeCell ref="H33:J33"/>
    <mergeCell ref="H18:J18"/>
    <mergeCell ref="D19:E19"/>
    <mergeCell ref="F19:G19"/>
    <mergeCell ref="C18:G18"/>
    <mergeCell ref="H34:J34"/>
    <mergeCell ref="I35:J35"/>
    <mergeCell ref="I36:J36"/>
    <mergeCell ref="D29:E29"/>
    <mergeCell ref="F29:G29"/>
    <mergeCell ref="D34:E34"/>
    <mergeCell ref="F34:G34"/>
  </mergeCells>
  <conditionalFormatting sqref="H39:H47">
    <cfRule type="cellIs" dxfId="0" priority="1" operator="equal">
      <formula>"Y"</formula>
    </cfRule>
  </conditionalFormatting>
  <dataValidations count="1">
    <dataValidation type="list" allowBlank="1" showInputMessage="1" showErrorMessage="1" sqref="H10:J10" xr:uid="{E3C0045C-14B4-694E-9CA2-209E4DB962A7}">
      <formula1>$D$6:$D$7</formula1>
    </dataValidation>
  </dataValidations>
  <pageMargins left="0.7" right="0.7" top="0.75" bottom="0.75" header="0.3" footer="0.3"/>
  <pageSetup paperSize="9" scale="38" orientation="portrait" horizontalDpi="0" verticalDpi="0"/>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D56A472C-815B-5A41-89BB-FCA0224CA23B}">
          <x14:formula1>
            <xm:f>'Test Results'!$C$44:$C$54</xm:f>
          </x14:formula1>
          <xm:sqref>H12</xm:sqref>
        </x14:dataValidation>
        <x14:dataValidation type="list" allowBlank="1" showInputMessage="1" showErrorMessage="1" xr:uid="{7090B27C-1886-494A-B93C-F8C49BF2D048}">
          <x14:formula1>
            <xm:f>'Test Results'!$E$44:$E$62</xm:f>
          </x14:formula1>
          <xm:sqref>I12</xm:sqref>
        </x14:dataValidation>
        <x14:dataValidation type="list" allowBlank="1" showInputMessage="1" showErrorMessage="1" xr:uid="{C8409D48-A84C-9B47-95F2-9EFDBFE770C1}">
          <x14:formula1>
            <xm:f>'Test Results'!$H$44:$H$49</xm:f>
          </x14:formula1>
          <xm:sqref>J12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87CC4-33F7-4647-A238-2A104F63CE5A}">
  <sheetPr>
    <pageSetUpPr fitToPage="1"/>
  </sheetPr>
  <dimension ref="A2:K164"/>
  <sheetViews>
    <sheetView showGridLines="0" zoomScale="52" zoomScaleNormal="52" workbookViewId="0">
      <selection activeCell="E7" sqref="E7"/>
    </sheetView>
  </sheetViews>
  <sheetFormatPr defaultColWidth="11" defaultRowHeight="17.25"/>
  <cols>
    <col min="1" max="1" width="22.33203125" style="230" customWidth="1"/>
    <col min="2" max="2" width="11" style="230"/>
    <col min="3" max="3" width="22.33203125" style="231" customWidth="1"/>
    <col min="4" max="8" width="30.109375" style="232" customWidth="1"/>
    <col min="9" max="9" width="11" style="233"/>
    <col min="10" max="16384" width="11" style="230"/>
  </cols>
  <sheetData>
    <row r="2" spans="1:11">
      <c r="J2" s="234"/>
      <c r="K2" s="235"/>
    </row>
    <row r="3" spans="1:11">
      <c r="B3" s="412" t="s">
        <v>455</v>
      </c>
      <c r="C3" s="413"/>
      <c r="D3" s="203" t="s">
        <v>45</v>
      </c>
      <c r="E3" s="203" t="s">
        <v>456</v>
      </c>
      <c r="F3" s="203" t="s">
        <v>108</v>
      </c>
      <c r="G3" s="203" t="s">
        <v>128</v>
      </c>
      <c r="H3" s="204" t="s">
        <v>129</v>
      </c>
      <c r="J3" s="236"/>
      <c r="K3" s="235"/>
    </row>
    <row r="4" spans="1:11">
      <c r="B4" s="412"/>
      <c r="C4" s="414"/>
      <c r="D4" s="205"/>
      <c r="E4" s="205"/>
      <c r="F4" s="205"/>
      <c r="G4" s="205"/>
      <c r="H4" s="205"/>
      <c r="J4" s="236"/>
      <c r="K4" s="235"/>
    </row>
    <row r="5" spans="1:11">
      <c r="B5" s="412"/>
      <c r="C5" s="206"/>
      <c r="D5" s="207" t="s">
        <v>457</v>
      </c>
      <c r="E5" s="207" t="s">
        <v>457</v>
      </c>
      <c r="F5" s="207" t="s">
        <v>457</v>
      </c>
      <c r="G5" s="207" t="s">
        <v>457</v>
      </c>
      <c r="H5" s="208" t="s">
        <v>457</v>
      </c>
      <c r="J5" s="236"/>
      <c r="K5" s="235"/>
    </row>
    <row r="6" spans="1:11">
      <c r="B6" s="412"/>
      <c r="C6" s="209" t="s">
        <v>458</v>
      </c>
      <c r="D6" s="210" t="s">
        <v>362</v>
      </c>
      <c r="E6" s="210" t="s">
        <v>162</v>
      </c>
      <c r="F6" s="210" t="s">
        <v>282</v>
      </c>
      <c r="G6" s="210"/>
      <c r="H6" s="211"/>
    </row>
    <row r="7" spans="1:11">
      <c r="A7" s="242" t="s">
        <v>459</v>
      </c>
      <c r="B7" s="412"/>
      <c r="C7" s="239" t="s">
        <v>460</v>
      </c>
      <c r="D7" s="212">
        <v>210</v>
      </c>
      <c r="E7" s="212">
        <v>125</v>
      </c>
      <c r="F7" s="212">
        <v>10</v>
      </c>
      <c r="G7" s="212">
        <v>50</v>
      </c>
      <c r="H7" s="213">
        <v>260</v>
      </c>
    </row>
    <row r="8" spans="1:11">
      <c r="B8" s="412"/>
      <c r="C8" s="239" t="s">
        <v>109</v>
      </c>
      <c r="D8" s="243">
        <f>IFERROR((VLOOKUP(D6,Servings!A:G,4,0)/VLOOKUP(D6,Servings!A:G,2,0))*D7,"")</f>
        <v>142.80000000000001</v>
      </c>
      <c r="E8" s="243">
        <f>IFERROR((VLOOKUP(E6,Servings!R:X,4,0)/VLOOKUP(E6,Servings!R:X,2,0))*E7,"")</f>
        <v>418.75</v>
      </c>
      <c r="F8" s="243">
        <f>IFERROR((VLOOKUP(F6,Servings!I:O,4,0)/VLOOKUP(F6,Servings!I:O,2,0))*F7,"")</f>
        <v>60.5</v>
      </c>
      <c r="G8" s="243" t="str">
        <f>IFERROR((VLOOKUP(G6,Servings!Z:AF,4,0)/VLOOKUP(G6,Servings!Z:AF,2,0))*G7,"")</f>
        <v/>
      </c>
      <c r="H8" s="243" t="str">
        <f>IFERROR((VLOOKUP(H6,Servings!AH:AN,4,0)/VLOOKUP(H6,Servings!AH:AN,2,0))*H7,"")</f>
        <v/>
      </c>
      <c r="I8" s="245">
        <f>IF($D$6="",0,D8)+IF($E$6="",0,E8)+IF($F$6="",0,F8)+IF($G$6="",0,G8)+IF($H$6="",0,H8)</f>
        <v>622.04999999999995</v>
      </c>
    </row>
    <row r="9" spans="1:11">
      <c r="B9" s="412"/>
      <c r="C9" s="239" t="s">
        <v>461</v>
      </c>
      <c r="D9" s="243">
        <f>IFERROR((VLOOKUP(D6,Servings!A:G,5,0)/VLOOKUP(D6,Servings!A:G,2,0))*D7,"")</f>
        <v>8.0640000000000001</v>
      </c>
      <c r="E9" s="243">
        <f>IFERROR((VLOOKUP(E6,Servings!R:X,5,0)/VLOOKUP(E6,Servings!R:X,2,0))*E7,"")</f>
        <v>64.166666666666657</v>
      </c>
      <c r="F9" s="243">
        <f>IFERROR((VLOOKUP(F6,Servings!I:O,5,0)/VLOOKUP(F6,Servings!I:O,2,0))*F7,"")</f>
        <v>0.7</v>
      </c>
      <c r="G9" s="243" t="str">
        <f>IFERROR((VLOOKUP(G6,Servings!Z:AF,5,0)/VLOOKUP(G6,Servings!Z:AF,2,0))*G7,"")</f>
        <v/>
      </c>
      <c r="H9" s="243" t="str">
        <f>IFERROR((VLOOKUP(H6,Servings!AH:AN,5,0)/VLOOKUP(H6,Servings!AH:AN,2,0))*H7,"")</f>
        <v/>
      </c>
      <c r="I9" s="245">
        <f>IF($D$6="",0,D9)+IF($E$6="",0,E9)+IF($F$6="",0,F9)+IF($G$6="",0,G9)+IF($H$6="",0,H9)</f>
        <v>72.930666666666653</v>
      </c>
    </row>
    <row r="10" spans="1:11">
      <c r="B10" s="412"/>
      <c r="C10" s="239" t="s">
        <v>45</v>
      </c>
      <c r="D10" s="243">
        <f>IFERROR((VLOOKUP(D6,Servings!A:G,6,0)/VLOOKUP(D6,Servings!A:G,2,0))*D7,"")</f>
        <v>26.207999999999998</v>
      </c>
      <c r="E10" s="243">
        <f>IFERROR((VLOOKUP(E6,Servings!R:X,6,0)/VLOOKUP(E6,Servings!R:X,2,0))*E7,"")</f>
        <v>5.416666666666667</v>
      </c>
      <c r="F10" s="243">
        <f>IFERROR((VLOOKUP(F6,Servings!I:O,6,0)/VLOOKUP(F6,Servings!I:O,2,0))*F7,"")</f>
        <v>2.5</v>
      </c>
      <c r="G10" s="243" t="str">
        <f>IFERROR((VLOOKUP(G6,Servings!Z:AF,6,0)/VLOOKUP(G6,Servings!Z:AF,2,0))*G7,"")</f>
        <v/>
      </c>
      <c r="H10" s="243" t="str">
        <f>IFERROR((VLOOKUP(H6,Servings!AH:AN,6,0)/VLOOKUP(H6,Servings!AH:AN,2,0))*H7,"")</f>
        <v/>
      </c>
      <c r="I10" s="245">
        <f>IF($D$6="",0,D10)+IF($E$6="",0,E10)+IF($F$6="",0,F10)+IF($G$6="",0,G10)+IF($H$6="",0,H10)</f>
        <v>34.12466666666667</v>
      </c>
    </row>
    <row r="11" spans="1:11">
      <c r="B11" s="412"/>
      <c r="C11" s="246" t="s">
        <v>108</v>
      </c>
      <c r="D11" s="247">
        <f>IFERROR((VLOOKUP(D6,Servings!A:G,7,0)/VLOOKUP(D6,Servings!A:G,2,0))*D7,"")</f>
        <v>0.63840000000000008</v>
      </c>
      <c r="E11" s="247">
        <f>IFERROR((VLOOKUP(E6,Servings!R:X,7,0)/VLOOKUP(E6,Servings!R:X,2,0))*E7,"")</f>
        <v>15.416666666666668</v>
      </c>
      <c r="F11" s="247">
        <f>IFERROR((VLOOKUP(F6,Servings!I:O,7,0)/VLOOKUP(F6,Servings!I:O,2,0))*F7,"")</f>
        <v>5.3000000000000007</v>
      </c>
      <c r="G11" s="247" t="str">
        <f>IFERROR((VLOOKUP(G6,Servings!Z:AF,7,0)/VLOOKUP(G6,Servings!Z:AF,2,0))*G7,"")</f>
        <v/>
      </c>
      <c r="H11" s="243" t="str">
        <f>IFERROR((VLOOKUP(H6,Servings!AH:AN,7,0)/VLOOKUP(H6,Servings!AH:AN,2,0))*H7,"")</f>
        <v/>
      </c>
      <c r="I11" s="245">
        <f>IF($D$6="",0,D11)+IF($E$6="",0,E11)+IF($F$6="",0,F11)+IF($G$6="",0,G11)+IF($H$6="",0,H11)</f>
        <v>21.355066666666669</v>
      </c>
    </row>
    <row r="12" spans="1:11">
      <c r="B12" s="412"/>
      <c r="C12" s="248"/>
      <c r="D12" s="243"/>
      <c r="E12" s="243"/>
      <c r="F12" s="243"/>
      <c r="G12" s="243"/>
      <c r="H12" s="243"/>
    </row>
    <row r="13" spans="1:11">
      <c r="B13" s="412"/>
      <c r="C13" s="201"/>
      <c r="D13" s="212"/>
      <c r="E13" s="212"/>
      <c r="F13" s="212"/>
      <c r="G13" s="202"/>
      <c r="H13" s="202"/>
    </row>
    <row r="14" spans="1:11">
      <c r="B14" s="412"/>
      <c r="C14" s="206"/>
      <c r="D14" s="207" t="s">
        <v>462</v>
      </c>
      <c r="E14" s="207" t="s">
        <v>462</v>
      </c>
      <c r="F14" s="207" t="s">
        <v>462</v>
      </c>
      <c r="G14" s="207" t="s">
        <v>462</v>
      </c>
      <c r="H14" s="208" t="s">
        <v>462</v>
      </c>
    </row>
    <row r="15" spans="1:11">
      <c r="B15" s="412"/>
      <c r="C15" s="209" t="s">
        <v>458</v>
      </c>
      <c r="D15" s="210" t="s">
        <v>321</v>
      </c>
      <c r="E15" s="210"/>
      <c r="F15" s="210"/>
      <c r="G15" s="210"/>
      <c r="H15" s="211"/>
    </row>
    <row r="16" spans="1:11">
      <c r="B16" s="412"/>
      <c r="C16" s="239" t="s">
        <v>460</v>
      </c>
      <c r="D16" s="283">
        <v>150</v>
      </c>
      <c r="E16" s="283">
        <v>275</v>
      </c>
      <c r="F16" s="283">
        <v>85</v>
      </c>
      <c r="G16" s="283">
        <v>85</v>
      </c>
      <c r="H16" s="284">
        <v>275</v>
      </c>
    </row>
    <row r="17" spans="1:9">
      <c r="B17" s="412"/>
      <c r="C17" s="239" t="s">
        <v>109</v>
      </c>
      <c r="D17" s="243">
        <f>IFERROR((VLOOKUP(D15,Servings!A:G,4,0)/VLOOKUP(D15,Servings!A:G,2,0))*D16,"")</f>
        <v>196.05263157894737</v>
      </c>
      <c r="E17" s="243" t="str">
        <f>IFERROR((VLOOKUP(E15,Servings!R:X,4,0)/VLOOKUP(E15,Servings!R:X,2,0))*E16,"")</f>
        <v/>
      </c>
      <c r="F17" s="243" t="str">
        <f>IFERROR((VLOOKUP(F15,Servings!I:O,4,0)/VLOOKUP(F15,Servings!I:O,2,0))*F16,"")</f>
        <v/>
      </c>
      <c r="G17" s="243" t="str">
        <f>IFERROR((VLOOKUP(G15,Servings!Z:AF,4,0)/VLOOKUP(G15,Servings!Z:AF,2,0))*G16,"")</f>
        <v/>
      </c>
      <c r="H17" s="244" t="str">
        <f>IFERROR((VLOOKUP(H15,Servings!AH:AN,4,0)/VLOOKUP(H15,Servings!AH:AN,2,0))*H16,"")</f>
        <v/>
      </c>
      <c r="I17" s="245">
        <f>IF($D$15="",0,D17)+IF($E$15="",0,E17)+IF($F$15="",0,F17)+IF($G$15="",0,G17)+IF($H$15="",0,H17)</f>
        <v>196.05263157894737</v>
      </c>
    </row>
    <row r="18" spans="1:9">
      <c r="A18" s="230" t="s">
        <v>54</v>
      </c>
      <c r="B18" s="412"/>
      <c r="C18" s="239" t="s">
        <v>461</v>
      </c>
      <c r="D18" s="243">
        <f>IFERROR((VLOOKUP(D15,Servings!A:G,5,0)/VLOOKUP(D15,Servings!A:G,2,0))*D16,"")</f>
        <v>0</v>
      </c>
      <c r="E18" s="243" t="str">
        <f>IFERROR((VLOOKUP(E15,Servings!R:X,5,0)/VLOOKUP(E15,Servings!R:X,2,0))*E16,"")</f>
        <v/>
      </c>
      <c r="F18" s="243" t="str">
        <f>IFERROR((VLOOKUP(F15,Servings!I:O,5,0)/VLOOKUP(F15,Servings!I:O,2,0))*F16,"")</f>
        <v/>
      </c>
      <c r="G18" s="243" t="str">
        <f>IFERROR((VLOOKUP(G15,Servings!Z:AF,5,0)/VLOOKUP(G15,Servings!Z:AF,2,0))*G16,"")</f>
        <v/>
      </c>
      <c r="H18" s="244" t="str">
        <f>IFERROR((VLOOKUP(H15,Servings!AH:AN,5,0)/VLOOKUP(H15,Servings!AH:AN,2,0))*H16,"")</f>
        <v/>
      </c>
      <c r="I18" s="245">
        <f>IF($D$15="",0,D18)+IF($E$15="",0,E18)+IF($F$15="",0,F18)+IF($G$15="",0,G18)+IF($H$15="",0,H18)</f>
        <v>0</v>
      </c>
    </row>
    <row r="19" spans="1:9">
      <c r="B19" s="412"/>
      <c r="C19" s="239" t="s">
        <v>45</v>
      </c>
      <c r="D19" s="243">
        <f>IFERROR((VLOOKUP(D15,Servings!A:G,6,0)/VLOOKUP(D15,Servings!A:G,2,0))*D16,"")</f>
        <v>18.947368421052634</v>
      </c>
      <c r="E19" s="243" t="str">
        <f>IFERROR((VLOOKUP(E15,Servings!R:X,6,0)/VLOOKUP(E15,Servings!R:X,2,0))*E16,"")</f>
        <v/>
      </c>
      <c r="F19" s="243" t="str">
        <f>IFERROR((VLOOKUP(F15,Servings!I:O,6,0)/VLOOKUP(F15,Servings!I:O,2,0))*F16,"")</f>
        <v/>
      </c>
      <c r="G19" s="243" t="str">
        <f>IFERROR((VLOOKUP(G15,Servings!Z:AF,6,0)/VLOOKUP(G15,Servings!Z:AF,2,0))*G16,"")</f>
        <v/>
      </c>
      <c r="H19" s="244" t="str">
        <f>IFERROR((VLOOKUP(H15,Servings!AH:AN,6,0)/VLOOKUP(H15,Servings!AH:AN,2,0))*H16,"")</f>
        <v/>
      </c>
      <c r="I19" s="245">
        <f>IF($D$15="",0,D19)+IF($E$15="",0,E19)+IF($F$15="",0,F19)+IF($G$15="",0,G19)+IF($H$15="",0,H19)</f>
        <v>18.947368421052634</v>
      </c>
    </row>
    <row r="20" spans="1:9">
      <c r="B20" s="412"/>
      <c r="C20" s="246" t="s">
        <v>108</v>
      </c>
      <c r="D20" s="247">
        <f>IFERROR((VLOOKUP(D15,Servings!A:G,7,0)/VLOOKUP(D15,Servings!A:G,2,0))*D16,"")</f>
        <v>13.552631578947368</v>
      </c>
      <c r="E20" s="247" t="str">
        <f>IFERROR((VLOOKUP(E15,Servings!R:X,7,0)/VLOOKUP(E15,Servings!R:X,2,0))*E16,"")</f>
        <v/>
      </c>
      <c r="F20" s="247" t="str">
        <f>IFERROR((VLOOKUP(F15,Servings!I:O,7,0)/VLOOKUP(F15,Servings!I:O,2,0))*F16,"")</f>
        <v/>
      </c>
      <c r="G20" s="247" t="str">
        <f>IFERROR((VLOOKUP(G15,Servings!Z:AF,7,0)/VLOOKUP(G15,Servings!Z:AF,2,0))*G16,"")</f>
        <v/>
      </c>
      <c r="H20" s="249" t="str">
        <f>IFERROR((VLOOKUP(H15,Servings!AH:AN,7,0)/VLOOKUP(H15,Servings!AH:AN,2,0))*H16,"")</f>
        <v/>
      </c>
      <c r="I20" s="245">
        <f>IF($D$15="",0,D20)+IF($E$15="",0,E20)+IF($F$15="",0,F20)+IF($G$15="",0,G20)+IF($H$15="",0,H20)</f>
        <v>13.552631578947368</v>
      </c>
    </row>
    <row r="21" spans="1:9">
      <c r="B21" s="412"/>
    </row>
    <row r="22" spans="1:9">
      <c r="B22" s="412"/>
      <c r="C22" s="237"/>
      <c r="D22" s="238" t="s">
        <v>455</v>
      </c>
      <c r="E22" s="238" t="s">
        <v>463</v>
      </c>
    </row>
    <row r="23" spans="1:9">
      <c r="B23" s="412"/>
      <c r="C23" s="248" t="s">
        <v>109</v>
      </c>
      <c r="D23" s="243">
        <f>I8+I17</f>
        <v>818.10263157894735</v>
      </c>
      <c r="E23" s="270"/>
    </row>
    <row r="24" spans="1:9">
      <c r="B24" s="412"/>
      <c r="C24" s="248" t="s">
        <v>461</v>
      </c>
      <c r="D24" s="243">
        <f>I9+I18</f>
        <v>72.930666666666653</v>
      </c>
      <c r="E24" s="270"/>
    </row>
    <row r="25" spans="1:9">
      <c r="B25" s="412"/>
      <c r="C25" s="248" t="s">
        <v>45</v>
      </c>
      <c r="D25" s="243">
        <f>I10+I19</f>
        <v>53.0720350877193</v>
      </c>
      <c r="E25" s="270"/>
    </row>
    <row r="26" spans="1:9">
      <c r="B26" s="412"/>
      <c r="C26" s="248" t="s">
        <v>108</v>
      </c>
      <c r="D26" s="243">
        <f>I11+I20</f>
        <v>34.907698245614036</v>
      </c>
      <c r="E26" s="270"/>
    </row>
    <row r="28" spans="1:9">
      <c r="G28" s="230"/>
      <c r="H28" s="230"/>
    </row>
    <row r="29" spans="1:9">
      <c r="B29" s="412" t="s">
        <v>464</v>
      </c>
      <c r="C29" s="415"/>
      <c r="D29" s="203" t="s">
        <v>45</v>
      </c>
      <c r="E29" s="203" t="s">
        <v>456</v>
      </c>
      <c r="F29" s="203" t="s">
        <v>108</v>
      </c>
      <c r="G29" s="203" t="s">
        <v>128</v>
      </c>
      <c r="H29" s="204" t="s">
        <v>129</v>
      </c>
    </row>
    <row r="30" spans="1:9">
      <c r="B30" s="412"/>
      <c r="C30" s="416"/>
      <c r="D30" s="205"/>
      <c r="E30" s="205"/>
      <c r="F30" s="205"/>
      <c r="G30" s="205"/>
      <c r="H30" s="205"/>
    </row>
    <row r="31" spans="1:9">
      <c r="B31" s="412"/>
      <c r="C31" s="237"/>
      <c r="D31" s="207" t="s">
        <v>457</v>
      </c>
      <c r="E31" s="207" t="s">
        <v>457</v>
      </c>
      <c r="F31" s="207" t="s">
        <v>457</v>
      </c>
      <c r="G31" s="207" t="s">
        <v>457</v>
      </c>
      <c r="H31" s="208" t="s">
        <v>457</v>
      </c>
    </row>
    <row r="32" spans="1:9">
      <c r="B32" s="412"/>
      <c r="C32" s="250" t="s">
        <v>458</v>
      </c>
      <c r="D32" s="210"/>
      <c r="E32" s="216" t="s">
        <v>148</v>
      </c>
      <c r="F32" s="210" t="s">
        <v>282</v>
      </c>
      <c r="G32" s="210"/>
      <c r="H32" s="211" t="s">
        <v>143</v>
      </c>
    </row>
    <row r="33" spans="2:9">
      <c r="B33" s="412"/>
      <c r="C33" s="239" t="s">
        <v>460</v>
      </c>
      <c r="D33" s="212">
        <v>40</v>
      </c>
      <c r="E33" s="212">
        <v>10</v>
      </c>
      <c r="F33" s="212">
        <v>70</v>
      </c>
      <c r="G33" s="212">
        <v>5</v>
      </c>
      <c r="H33" s="213">
        <v>270</v>
      </c>
    </row>
    <row r="34" spans="2:9">
      <c r="B34" s="412"/>
      <c r="C34" s="239" t="s">
        <v>109</v>
      </c>
      <c r="D34" s="243" t="str">
        <f>IFERROR((VLOOKUP(D32,Servings!A:G,4,0)/VLOOKUP(D32,Servings!A:G,2,0))*D33,"")</f>
        <v/>
      </c>
      <c r="E34" s="247">
        <f>IFERROR((VLOOKUP(E32,Servings!R:X,4,0)/VLOOKUP(E32,Servings!R:X,2,0))*E33,"")</f>
        <v>5.2873563218390807</v>
      </c>
      <c r="F34" s="243">
        <f>IFERROR((VLOOKUP(F32,Servings!I:O,4,0)/VLOOKUP(F32,Servings!I:O,2,0))*F33,"")</f>
        <v>423.5</v>
      </c>
      <c r="G34" s="243" t="str">
        <f>IFERROR((VLOOKUP(G32,Servings!Z:AF,4,0)/VLOOKUP(G32,Servings!Z:AF,2,0))*G33,"")</f>
        <v/>
      </c>
      <c r="H34" s="244">
        <f>IFERROR((VLOOKUP(H32,Servings!AH:AN,4,0)/VLOOKUP(H32,Servings!AH:AN,2,0))*H33,"")</f>
        <v>70.2</v>
      </c>
      <c r="I34" s="245">
        <f>IF($D$32="",0,D34)+IF($E$32="",0,E34)+IF($F$32="",0,F34)+IF($G$32="",0,G34)+IF($H$32="",0,H34)</f>
        <v>498.98735632183906</v>
      </c>
    </row>
    <row r="35" spans="2:9">
      <c r="B35" s="412"/>
      <c r="C35" s="239" t="s">
        <v>461</v>
      </c>
      <c r="D35" s="243" t="str">
        <f>IFERROR((VLOOKUP(D32,Servings!A:G,5,0)/VLOOKUP(D32,Servings!A:G,2,0))*D33,"")</f>
        <v/>
      </c>
      <c r="E35" s="243">
        <f>IFERROR((VLOOKUP(E32,Servings!R:X,5,0)/VLOOKUP(E32,Servings!R:X,2,0))*E33,"")</f>
        <v>1.1494252873563218</v>
      </c>
      <c r="F35" s="243">
        <f>IFERROR((VLOOKUP(F32,Servings!I:O,5,0)/VLOOKUP(F32,Servings!I:O,2,0))*F33,"")</f>
        <v>4.8999999999999995</v>
      </c>
      <c r="G35" s="243" t="str">
        <f>IFERROR((VLOOKUP(G32,Servings!Z:AF,5,0)/VLOOKUP(G32,Servings!Z:AF,2,0))*G33,"")</f>
        <v/>
      </c>
      <c r="H35" s="244">
        <f>IFERROR((VLOOKUP(H32,Servings!AH:AN,5,0)/VLOOKUP(H32,Servings!AH:AN,2,0))*H33,"")</f>
        <v>10.8</v>
      </c>
      <c r="I35" s="245">
        <f>IF($D$32="",0,D35)+IF($E$32="",0,E35)+IF($F$32="",0,F35)+IF($G$32="",0,G35)+IF($H$32="",0,H35)</f>
        <v>16.849425287356322</v>
      </c>
    </row>
    <row r="36" spans="2:9">
      <c r="B36" s="412"/>
      <c r="C36" s="239" t="s">
        <v>45</v>
      </c>
      <c r="D36" s="243" t="str">
        <f>IFERROR((VLOOKUP(D32,Servings!A:G,6,0)/VLOOKUP(D32,Servings!A:G,2,0))*D33,"")</f>
        <v/>
      </c>
      <c r="E36" s="243">
        <f>IFERROR((VLOOKUP(E32,Servings!R:X,6,0)/VLOOKUP(E32,Servings!R:X,2,0))*E33,"")</f>
        <v>5.7471264367816091E-2</v>
      </c>
      <c r="F36" s="243">
        <f>IFERROR((VLOOKUP(F32,Servings!I:O,6,0)/VLOOKUP(F32,Servings!I:O,2,0))*F33,"")</f>
        <v>17.5</v>
      </c>
      <c r="G36" s="243" t="str">
        <f>IFERROR((VLOOKUP(G32,Servings!Z:AF,6,0)/VLOOKUP(G32,Servings!Z:AF,2,0))*G33,"")</f>
        <v/>
      </c>
      <c r="H36" s="244">
        <f>IFERROR((VLOOKUP(H32,Servings!AH:AN,6,0)/VLOOKUP(H32,Servings!AH:AN,2,0))*H33,"")</f>
        <v>1.35</v>
      </c>
      <c r="I36" s="245">
        <f>IF($D$32="",0,D36)+IF($E$32="",0,E36)+IF($F$32="",0,F36)+IF($G$32="",0,G36)+IF($H$32="",0,H36)</f>
        <v>18.907471264367818</v>
      </c>
    </row>
    <row r="37" spans="2:9">
      <c r="B37" s="412"/>
      <c r="C37" s="246" t="s">
        <v>108</v>
      </c>
      <c r="D37" s="247" t="str">
        <f>IFERROR((VLOOKUP(D32,Servings!A:G,7,0)/VLOOKUP(D32,Servings!A:G,2,0))*D33,"")</f>
        <v/>
      </c>
      <c r="E37" s="247">
        <f>IFERROR((VLOOKUP(E32,Servings!R:X,7,0)/VLOOKUP(E32,Servings!R:X,2,0))*E33,"")</f>
        <v>0.05</v>
      </c>
      <c r="F37" s="247">
        <f>IFERROR((VLOOKUP(F32,Servings!I:O,7,0)/VLOOKUP(F32,Servings!I:O,2,0))*F33,"")</f>
        <v>37.1</v>
      </c>
      <c r="G37" s="247" t="str">
        <f>IFERROR((VLOOKUP(G32,Servings!Z:AF,7,0)/VLOOKUP(G32,Servings!Z:AF,2,0))*G33,"")</f>
        <v/>
      </c>
      <c r="H37" s="249">
        <f>IFERROR((VLOOKUP(H32,Servings!AH:AN,7,0)/VLOOKUP(H32,Servings!AH:AN,2,0))*H33,"")</f>
        <v>2.7</v>
      </c>
      <c r="I37" s="245">
        <f>IF($D$32="",0,D37)+IF($E$32="",0,E37)+IF($F$32="",0,F37)+IF($G$32="",0,G37)+IF($H$32="",0,H37)</f>
        <v>39.85</v>
      </c>
    </row>
    <row r="38" spans="2:9">
      <c r="B38" s="412"/>
      <c r="C38" s="248"/>
      <c r="D38" s="243"/>
      <c r="E38" s="243"/>
      <c r="F38" s="243"/>
      <c r="G38" s="243"/>
      <c r="H38" s="243"/>
    </row>
    <row r="39" spans="2:9">
      <c r="B39" s="412"/>
      <c r="C39" s="201"/>
      <c r="D39" s="212"/>
      <c r="E39" s="212"/>
      <c r="F39" s="212"/>
      <c r="G39" s="202"/>
      <c r="H39" s="202"/>
    </row>
    <row r="40" spans="2:9">
      <c r="B40" s="412"/>
      <c r="C40" s="206"/>
      <c r="D40" s="207" t="s">
        <v>462</v>
      </c>
      <c r="E40" s="207" t="s">
        <v>462</v>
      </c>
      <c r="F40" s="207" t="s">
        <v>462</v>
      </c>
      <c r="G40" s="207" t="s">
        <v>462</v>
      </c>
      <c r="H40" s="208" t="s">
        <v>462</v>
      </c>
    </row>
    <row r="41" spans="2:9">
      <c r="B41" s="412"/>
      <c r="C41" s="215" t="s">
        <v>458</v>
      </c>
      <c r="D41" s="210"/>
      <c r="E41" s="216"/>
      <c r="F41" s="210"/>
      <c r="G41" s="210"/>
      <c r="H41" s="211" t="s">
        <v>221</v>
      </c>
    </row>
    <row r="42" spans="2:9">
      <c r="B42" s="412"/>
      <c r="C42" s="239" t="s">
        <v>460</v>
      </c>
      <c r="D42" s="243">
        <v>5</v>
      </c>
      <c r="E42" s="243">
        <v>5</v>
      </c>
      <c r="F42" s="243">
        <v>40</v>
      </c>
      <c r="G42" s="243">
        <v>5</v>
      </c>
      <c r="H42" s="244">
        <v>100</v>
      </c>
    </row>
    <row r="43" spans="2:9">
      <c r="B43" s="412"/>
      <c r="C43" s="239" t="s">
        <v>109</v>
      </c>
      <c r="D43" s="243" t="str">
        <f>IFERROR((VLOOKUP(D41,Servings!A:G,4,0)/VLOOKUP(D41,Servings!A:G,2,0))*D42,"")</f>
        <v/>
      </c>
      <c r="E43" s="243" t="str">
        <f>IFERROR((VLOOKUP(E41,Servings!R:X,4,0)/VLOOKUP(E41,Servings!R:X,2,0))*E42,"")</f>
        <v/>
      </c>
      <c r="F43" s="243" t="str">
        <f>IFERROR((VLOOKUP(F41,Servings!I:O,4,0)/VLOOKUP(F41,Servings!I:O,2,0))*F42,"")</f>
        <v/>
      </c>
      <c r="G43" s="243" t="str">
        <f>IFERROR((VLOOKUP(G41,Servings!Z:AF,4,0)/VLOOKUP(G41,Servings!Z:AF,2,0))*G42,"")</f>
        <v/>
      </c>
      <c r="H43" s="244">
        <f>IFERROR((VLOOKUP(H41,Servings!AH:AN,4,0)/VLOOKUP(H41,Servings!AH:AN,2,0))*H42,"")</f>
        <v>187.5</v>
      </c>
      <c r="I43" s="245">
        <f>IF($D$41="",0,D43)+IF($E$41="",0,E43)+IF($F$41="",0,F43)+IF($G$41="",0,G43)+IF($H$41="",0,H43)</f>
        <v>187.5</v>
      </c>
    </row>
    <row r="44" spans="2:9">
      <c r="B44" s="412"/>
      <c r="C44" s="239" t="s">
        <v>461</v>
      </c>
      <c r="D44" s="243" t="str">
        <f>IFERROR((VLOOKUP(D41,Servings!A:G,5,0)/VLOOKUP(D41,Servings!A:G,2,0))*D42,"")</f>
        <v/>
      </c>
      <c r="E44" s="243" t="str">
        <f>IFERROR((VLOOKUP(E41,Servings!R:X,5,0)/VLOOKUP(E41,Servings!R:X,2,0))*E42,"")</f>
        <v/>
      </c>
      <c r="F44" s="243" t="str">
        <f>IFERROR((VLOOKUP(F41,Servings!I:O,5,0)/VLOOKUP(F41,Servings!I:O,2,0))*F42,"")</f>
        <v/>
      </c>
      <c r="G44" s="243" t="str">
        <f>IFERROR((VLOOKUP(G41,Servings!Z:AF,5,0)/VLOOKUP(G41,Servings!Z:AF,2,0))*G42,"")</f>
        <v/>
      </c>
      <c r="H44" s="244">
        <f>IFERROR((VLOOKUP(H41,Servings!AH:AN,5,0)/VLOOKUP(H41,Servings!AH:AN,2,0))*H42,"")</f>
        <v>13.333333333333334</v>
      </c>
      <c r="I44" s="245">
        <f>IF($D$41="",0,D44)+IF($E$41="",0,E44)+IF($F$41="",0,F44)+IF($G$41="",0,G44)+IF($H$41="",0,H44)</f>
        <v>13.333333333333334</v>
      </c>
    </row>
    <row r="45" spans="2:9">
      <c r="B45" s="412"/>
      <c r="C45" s="239" t="s">
        <v>45</v>
      </c>
      <c r="D45" s="243" t="str">
        <f>IFERROR((VLOOKUP(D41,Servings!A:G,6,0)/VLOOKUP(D41,Servings!A:G,2,0))*D42,"")</f>
        <v/>
      </c>
      <c r="E45" s="243" t="str">
        <f>IFERROR((VLOOKUP(E41,Servings!R:X,6,0)/VLOOKUP(E41,Servings!R:X,2,0))*E42,"")</f>
        <v/>
      </c>
      <c r="F45" s="243" t="str">
        <f>IFERROR((VLOOKUP(F41,Servings!I:O,6,0)/VLOOKUP(F41,Servings!I:O,2,0))*F42,"")</f>
        <v/>
      </c>
      <c r="G45" s="243" t="str">
        <f>IFERROR((VLOOKUP(G41,Servings!Z:AF,6,0)/VLOOKUP(G41,Servings!Z:AF,2,0))*G42,"")</f>
        <v/>
      </c>
      <c r="H45" s="244">
        <f>IFERROR((VLOOKUP(H41,Servings!AH:AN,6,0)/VLOOKUP(H41,Servings!AH:AN,2,0))*H42,"")</f>
        <v>6.666666666666667</v>
      </c>
      <c r="I45" s="245">
        <f>IF($D$41="",0,D45)+IF($E$41="",0,E45)+IF($F$41="",0,F45)+IF($G$41="",0,G45)+IF($H$41="",0,H45)</f>
        <v>6.666666666666667</v>
      </c>
    </row>
    <row r="46" spans="2:9">
      <c r="B46" s="412"/>
      <c r="C46" s="246" t="s">
        <v>108</v>
      </c>
      <c r="D46" s="247" t="str">
        <f>IFERROR((VLOOKUP(D41,Servings!A:G,7,0)/VLOOKUP(D41,Servings!A:G,2,0))*D42,"")</f>
        <v/>
      </c>
      <c r="E46" s="247" t="str">
        <f>IFERROR((VLOOKUP(E41,Servings!R:X,7,0)/VLOOKUP(E41,Servings!R:X,2,0))*E42,"")</f>
        <v/>
      </c>
      <c r="F46" s="247" t="str">
        <f>IFERROR((VLOOKUP(F41,Servings!I:O,7,0)/VLOOKUP(F41,Servings!I:O,2,0))*F42,"")</f>
        <v/>
      </c>
      <c r="G46" s="247" t="str">
        <f>IFERROR((VLOOKUP(G41,Servings!Z:AF,7,0)/VLOOKUP(G41,Servings!Z:AF,2,0))*G42,"")</f>
        <v/>
      </c>
      <c r="H46" s="249">
        <f>IFERROR((VLOOKUP(H41,Servings!AH:AN,7,0)/VLOOKUP(H41,Servings!AH:AN,2,0))*H42,"")</f>
        <v>12.083333333333334</v>
      </c>
      <c r="I46" s="245">
        <f>IF($D$41="",0,D46)+IF($E$41="",0,E46)+IF($F$41="",0,F46)+IF($G$41="",0,G46)+IF($H$41="",0,H46)</f>
        <v>12.083333333333334</v>
      </c>
    </row>
    <row r="47" spans="2:9">
      <c r="B47" s="412"/>
    </row>
    <row r="48" spans="2:9">
      <c r="B48" s="412"/>
      <c r="C48" s="237"/>
      <c r="D48" s="238" t="s">
        <v>464</v>
      </c>
      <c r="E48" s="238" t="s">
        <v>463</v>
      </c>
    </row>
    <row r="49" spans="2:9">
      <c r="B49" s="412"/>
      <c r="C49" s="248" t="s">
        <v>109</v>
      </c>
      <c r="D49" s="243">
        <f>I34+I43</f>
        <v>686.48735632183912</v>
      </c>
      <c r="E49" s="214"/>
    </row>
    <row r="50" spans="2:9">
      <c r="B50" s="412"/>
      <c r="C50" s="248" t="s">
        <v>461</v>
      </c>
      <c r="D50" s="243">
        <f>I35+I44</f>
        <v>30.182758620689654</v>
      </c>
      <c r="E50" s="214"/>
    </row>
    <row r="51" spans="2:9">
      <c r="B51" s="412"/>
      <c r="C51" s="248" t="s">
        <v>45</v>
      </c>
      <c r="D51" s="243">
        <f>I36+I45</f>
        <v>25.574137931034485</v>
      </c>
      <c r="E51" s="214"/>
    </row>
    <row r="52" spans="2:9">
      <c r="B52" s="412"/>
      <c r="C52" s="248" t="s">
        <v>108</v>
      </c>
      <c r="D52" s="243">
        <f>I37+I46</f>
        <v>51.933333333333337</v>
      </c>
      <c r="E52" s="214"/>
    </row>
    <row r="55" spans="2:9">
      <c r="B55" s="417" t="s">
        <v>465</v>
      </c>
      <c r="C55" s="418"/>
      <c r="D55" s="217" t="s">
        <v>45</v>
      </c>
      <c r="E55" s="217" t="s">
        <v>456</v>
      </c>
      <c r="F55" s="217" t="s">
        <v>108</v>
      </c>
      <c r="G55" s="217" t="s">
        <v>128</v>
      </c>
      <c r="H55" s="204" t="s">
        <v>129</v>
      </c>
      <c r="I55" s="252"/>
    </row>
    <row r="56" spans="2:9">
      <c r="B56" s="417"/>
      <c r="C56" s="419"/>
      <c r="D56" s="218"/>
      <c r="E56" s="218"/>
      <c r="F56" s="218"/>
      <c r="G56" s="218"/>
      <c r="H56" s="218"/>
      <c r="I56" s="252"/>
    </row>
    <row r="57" spans="2:9">
      <c r="B57" s="417"/>
      <c r="C57" s="226"/>
      <c r="D57" s="220" t="s">
        <v>457</v>
      </c>
      <c r="E57" s="220" t="s">
        <v>457</v>
      </c>
      <c r="F57" s="220" t="s">
        <v>457</v>
      </c>
      <c r="G57" s="276" t="s">
        <v>457</v>
      </c>
      <c r="H57" s="227" t="s">
        <v>457</v>
      </c>
      <c r="I57" s="252"/>
    </row>
    <row r="58" spans="2:9">
      <c r="B58" s="417"/>
      <c r="C58" s="221" t="s">
        <v>458</v>
      </c>
      <c r="D58" s="271" t="s">
        <v>145</v>
      </c>
      <c r="E58" s="274" t="s">
        <v>197</v>
      </c>
      <c r="F58" s="271" t="s">
        <v>169</v>
      </c>
      <c r="G58" s="271"/>
      <c r="H58" s="211" t="s">
        <v>173</v>
      </c>
      <c r="I58" s="252"/>
    </row>
    <row r="59" spans="2:9">
      <c r="B59" s="417"/>
      <c r="C59" s="256" t="s">
        <v>460</v>
      </c>
      <c r="D59" s="285">
        <v>30</v>
      </c>
      <c r="E59" s="285">
        <v>70</v>
      </c>
      <c r="F59" s="285">
        <v>30</v>
      </c>
      <c r="G59" s="285">
        <v>0</v>
      </c>
      <c r="H59" s="213">
        <v>395</v>
      </c>
      <c r="I59" s="252"/>
    </row>
    <row r="60" spans="2:9">
      <c r="B60" s="417"/>
      <c r="C60" s="256" t="s">
        <v>109</v>
      </c>
      <c r="D60" s="272">
        <f>IFERROR((VLOOKUP(D58,Servings!A:G,4,0)/VLOOKUP(D58,Servings!A:G,2,0))*D59,"")</f>
        <v>47</v>
      </c>
      <c r="E60" s="272">
        <f>IFERROR((VLOOKUP(E58,Servings!R:X,4,0)/VLOOKUP(E58,Servings!R:X,2,0))*E59,"")</f>
        <v>141.8918918918919</v>
      </c>
      <c r="F60" s="272">
        <f>IFERROR((VLOOKUP(F58,Servings!I:O,4,0)/VLOOKUP(F58,Servings!I:O,2,0))*F59,"")</f>
        <v>222.97297297297297</v>
      </c>
      <c r="G60" s="272" t="str">
        <f>IFERROR((VLOOKUP(G58,Servings!Z:AF,4,0)/VLOOKUP(G58,Servings!Z:AF,2,0))*G59,"")</f>
        <v/>
      </c>
      <c r="H60" s="244">
        <f>IFERROR((VLOOKUP(H58,Servings!AH:AN,4,0)/VLOOKUP(H58,Servings!AH:AN,2,0))*H59,"")</f>
        <v>273.72807017543863</v>
      </c>
      <c r="I60" s="245">
        <f>IF($D$58="",0,D60)+IF($E$58="",0,E60)+IF($F$58="",0,F60)+IF($G$58="",0,G60)+IF($H$58="",0,H60)</f>
        <v>685.59293504030347</v>
      </c>
    </row>
    <row r="61" spans="2:9">
      <c r="B61" s="417"/>
      <c r="C61" s="256" t="s">
        <v>461</v>
      </c>
      <c r="D61" s="272">
        <f>IFERROR((VLOOKUP(D58,Servings!A:G,5,0)/VLOOKUP(D58,Servings!A:G,2,0))*D59,"")</f>
        <v>0.27</v>
      </c>
      <c r="E61" s="272">
        <f>IFERROR((VLOOKUP(E58,Servings!R:X,5,0)/VLOOKUP(E58,Servings!R:X,2,0))*E59,"")</f>
        <v>26.864864864864863</v>
      </c>
      <c r="F61" s="272">
        <f>IFERROR((VLOOKUP(F58,Servings!I:O,5,0)/VLOOKUP(F58,Servings!I:O,2,0))*F59,"")</f>
        <v>0.18243243243243243</v>
      </c>
      <c r="G61" s="272" t="str">
        <f>IFERROR((VLOOKUP(G58,Servings!Z:AF,5,0)/VLOOKUP(G58,Servings!Z:AF,2,0))*G59,"")</f>
        <v/>
      </c>
      <c r="H61" s="244">
        <f>IFERROR((VLOOKUP(H58,Servings!AH:AN,5,0)/VLOOKUP(H58,Servings!AH:AN,2,0))*H59,"")</f>
        <v>65.833333333333329</v>
      </c>
      <c r="I61" s="245">
        <f>IF($D$58="",0,D61)+IF($E$58="",0,E61)+IF($F$58="",0,F61)+IF($G$58="",0,G61)+IF($H$58="",0,H61)</f>
        <v>93.150630630630616</v>
      </c>
    </row>
    <row r="62" spans="2:9">
      <c r="B62" s="417"/>
      <c r="C62" s="256" t="s">
        <v>45</v>
      </c>
      <c r="D62" s="272">
        <f>IFERROR((VLOOKUP(D58,Servings!A:G,6,0)/VLOOKUP(D58,Servings!A:G,2,0))*D59,"")</f>
        <v>7.7500000000000009</v>
      </c>
      <c r="E62" s="272">
        <f>IFERROR((VLOOKUP(E58,Servings!R:X,6,0)/VLOOKUP(E58,Servings!R:X,2,0))*E59,"")</f>
        <v>5.4864864864864868</v>
      </c>
      <c r="F62" s="272">
        <f>IFERROR((VLOOKUP(F58,Servings!I:O,6,0)/VLOOKUP(F58,Servings!I:O,2,0))*F59,"")</f>
        <v>0.18243243243243243</v>
      </c>
      <c r="G62" s="272" t="str">
        <f>IFERROR((VLOOKUP(G58,Servings!Z:AF,6,0)/VLOOKUP(G58,Servings!Z:AF,2,0))*G59,"")</f>
        <v/>
      </c>
      <c r="H62" s="244">
        <f>IFERROR((VLOOKUP(H58,Servings!AH:AN,6,0)/VLOOKUP(H58,Servings!AH:AN,2,0))*H59,"")</f>
        <v>2.0789473684210527</v>
      </c>
      <c r="I62" s="245">
        <f>IF($D$58="",0,D62)+IF($E$58="",0,E62)+IF($F$58="",0,F62)+IF($G$58="",0,G62)+IF($H$58="",0,H62)</f>
        <v>15.497866287339972</v>
      </c>
    </row>
    <row r="63" spans="2:9">
      <c r="B63" s="417"/>
      <c r="C63" s="257" t="s">
        <v>108</v>
      </c>
      <c r="D63" s="247">
        <f>IFERROR((VLOOKUP(D58,Servings!A:G,7,0)/VLOOKUP(D58,Servings!A:G,2,0))*D59,"")</f>
        <v>1.65</v>
      </c>
      <c r="E63" s="247">
        <f>IFERROR((VLOOKUP(E58,Servings!R:X,7,0)/VLOOKUP(E58,Servings!R:X,2,0))*E59,"")</f>
        <v>1.4000000000000001</v>
      </c>
      <c r="F63" s="247">
        <f>IFERROR((VLOOKUP(F58,Servings!I:O,7,0)/VLOOKUP(F58,Servings!I:O,2,0))*F59,"")</f>
        <v>24.729729729729726</v>
      </c>
      <c r="G63" s="247" t="str">
        <f>IFERROR((VLOOKUP(G58,Servings!Z:AF,7,0)/VLOOKUP(G58,Servings!Z:AF,2,0))*G59,"")</f>
        <v/>
      </c>
      <c r="H63" s="275">
        <f>IFERROR((VLOOKUP(H58,Servings!AH:AN,7,0)/VLOOKUP(H58,Servings!AH:AN,2,0))*H59,"")</f>
        <v>0</v>
      </c>
      <c r="I63" s="245">
        <f>IF($D$58="",0,D63)+IF($E$58="",0,E63)+IF($F$58="",0,F63)+IF($G$58="",0,G63)+IF($H$58="",0,H63)</f>
        <v>27.779729729729727</v>
      </c>
    </row>
    <row r="64" spans="2:9">
      <c r="B64" s="417"/>
      <c r="C64" s="258"/>
      <c r="D64" s="259"/>
      <c r="E64" s="259"/>
      <c r="F64" s="259"/>
      <c r="G64" s="259"/>
      <c r="H64" s="249" t="str">
        <f>IFERROR((VLOOKUP(H59,Servings!AH:AN,7,0)/VLOOKUP(H59,Servings!AH:AN,2,0))*H60,"")</f>
        <v/>
      </c>
      <c r="I64" s="252"/>
    </row>
    <row r="65" spans="2:9">
      <c r="B65" s="417"/>
      <c r="C65" s="224"/>
      <c r="D65" s="223"/>
      <c r="E65" s="223"/>
      <c r="F65" s="223"/>
      <c r="G65" s="225"/>
      <c r="H65" s="225"/>
      <c r="I65" s="252"/>
    </row>
    <row r="66" spans="2:9">
      <c r="B66" s="417"/>
      <c r="C66" s="278"/>
      <c r="D66" s="273" t="s">
        <v>462</v>
      </c>
      <c r="E66" s="273" t="s">
        <v>462</v>
      </c>
      <c r="F66" s="273" t="s">
        <v>462</v>
      </c>
      <c r="G66" s="277" t="s">
        <v>462</v>
      </c>
      <c r="H66" s="277" t="s">
        <v>462</v>
      </c>
      <c r="I66" s="252"/>
    </row>
    <row r="67" spans="2:9">
      <c r="B67" s="417"/>
      <c r="C67" s="279" t="s">
        <v>458</v>
      </c>
      <c r="D67" s="280"/>
      <c r="E67" s="281"/>
      <c r="F67" s="280"/>
      <c r="G67" s="280"/>
      <c r="H67" s="282" t="s">
        <v>166</v>
      </c>
      <c r="I67" s="252"/>
    </row>
    <row r="68" spans="2:9">
      <c r="B68" s="417"/>
      <c r="C68" s="256" t="s">
        <v>460</v>
      </c>
      <c r="D68" s="285">
        <v>45</v>
      </c>
      <c r="E68" s="285">
        <v>75</v>
      </c>
      <c r="F68" s="285">
        <v>40</v>
      </c>
      <c r="G68" s="285">
        <v>20</v>
      </c>
      <c r="H68" s="213">
        <v>20</v>
      </c>
      <c r="I68" s="252"/>
    </row>
    <row r="69" spans="2:9">
      <c r="B69" s="417"/>
      <c r="C69" s="256" t="s">
        <v>109</v>
      </c>
      <c r="D69" s="272" t="str">
        <f>IFERROR((VLOOKUP(D67,Servings!A:G,4,0)/VLOOKUP(D67,Servings!A:G,2,0))*D68,"")</f>
        <v/>
      </c>
      <c r="E69" s="272" t="str">
        <f>IFERROR((VLOOKUP(E67,Servings!R:X,4,0)/VLOOKUP(E67,Servings!R:X,2,0))*E68,"")</f>
        <v/>
      </c>
      <c r="F69" s="272" t="str">
        <f>IFERROR((VLOOKUP(F67,Servings!I:O,4,0)/VLOOKUP(F67,Servings!I:O,2,0))*F68,"")</f>
        <v/>
      </c>
      <c r="G69" s="272" t="str">
        <f>IFERROR((VLOOKUP(G67,Servings!Z:AF,4,0)/VLOOKUP(G67,Servings!Z:AF,2,0))*G68,"")</f>
        <v/>
      </c>
      <c r="H69" s="244">
        <f>IFERROR((VLOOKUP(H67,Servings!AH:AN,4,0)/VLOOKUP(H67,Servings!AH:AN,2,0))*H68,"")</f>
        <v>26.8</v>
      </c>
      <c r="I69" s="245">
        <f>IF($D$67="",0,D69)+IF($E$67="",0,E69)+IF($F$67="",0,F69)+IF($G$67="",0,G69)+IF($H$67="",0,H69)</f>
        <v>26.8</v>
      </c>
    </row>
    <row r="70" spans="2:9">
      <c r="B70" s="417"/>
      <c r="C70" s="256" t="s">
        <v>461</v>
      </c>
      <c r="D70" s="272" t="str">
        <f>IFERROR((VLOOKUP(D67,Servings!A:G,5,0)/VLOOKUP(D67,Servings!A:G,2,0))*D68,"")</f>
        <v/>
      </c>
      <c r="E70" s="272" t="str">
        <f>IFERROR((VLOOKUP(E67,Servings!R:X,5,0)/VLOOKUP(E67,Servings!R:X,2,0))*E68,"")</f>
        <v/>
      </c>
      <c r="F70" s="272" t="str">
        <f>IFERROR((VLOOKUP(F67,Servings!I:O,5,0)/VLOOKUP(F67,Servings!I:O,2,0))*F68,"")</f>
        <v/>
      </c>
      <c r="G70" s="272" t="str">
        <f>IFERROR((VLOOKUP(G67,Servings!Z:AF,5,0)/VLOOKUP(G67,Servings!Z:AF,2,0))*G68,"")</f>
        <v/>
      </c>
      <c r="H70" s="244">
        <f>IFERROR((VLOOKUP(H67,Servings!AH:AN,5,0)/VLOOKUP(H67,Servings!AH:AN,2,0))*H68,"")</f>
        <v>6.4</v>
      </c>
      <c r="I70" s="245">
        <f>IF($D$67="",0,D70)+IF($E$67="",0,E70)+IF($F$67="",0,F70)+IF($G$67="",0,G70)+IF($H$67="",0,H70)</f>
        <v>6.4</v>
      </c>
    </row>
    <row r="71" spans="2:9">
      <c r="B71" s="417"/>
      <c r="C71" s="256" t="s">
        <v>45</v>
      </c>
      <c r="D71" s="272" t="str">
        <f>IFERROR((VLOOKUP(D67,Servings!A:G,6,0)/VLOOKUP(D67,Servings!A:G,2,0))*D68,"")</f>
        <v/>
      </c>
      <c r="E71" s="272" t="str">
        <f>IFERROR((VLOOKUP(E67,Servings!R:X,6,0)/VLOOKUP(E67,Servings!R:X,2,0))*E68,"")</f>
        <v/>
      </c>
      <c r="F71" s="272" t="str">
        <f>IFERROR((VLOOKUP(F67,Servings!I:O,6,0)/VLOOKUP(F67,Servings!I:O,2,0))*F68,"")</f>
        <v/>
      </c>
      <c r="G71" s="272" t="str">
        <f>IFERROR((VLOOKUP(G67,Servings!Z:AF,6,0)/VLOOKUP(G67,Servings!Z:AF,2,0))*G68,"")</f>
        <v/>
      </c>
      <c r="H71" s="244">
        <f>IFERROR((VLOOKUP(H67,Servings!AH:AN,6,0)/VLOOKUP(H67,Servings!AH:AN,2,0))*H68,"")</f>
        <v>0.10666666666666666</v>
      </c>
      <c r="I71" s="245">
        <f>IF($D$67="",0,D71)+IF($E$67="",0,E71)+IF($F$67="",0,F71)+IF($G$67="",0,G71)+IF($H$67="",0,H71)</f>
        <v>0.10666666666666666</v>
      </c>
    </row>
    <row r="72" spans="2:9">
      <c r="B72" s="417"/>
      <c r="C72" s="257" t="s">
        <v>108</v>
      </c>
      <c r="D72" s="247" t="str">
        <f>IFERROR((VLOOKUP(D67,Servings!A:G,7,0)/VLOOKUP(D67,Servings!A:G,2,0))*D68,"")</f>
        <v/>
      </c>
      <c r="E72" s="247" t="str">
        <f>IFERROR((VLOOKUP(E67,Servings!R:X,7,0)/VLOOKUP(E67,Servings!R:X,2,0))*E68,"")</f>
        <v/>
      </c>
      <c r="F72" s="247" t="str">
        <f>IFERROR((VLOOKUP(F67,Servings!I:O,7,0)/VLOOKUP(F67,Servings!I:O,2,0))*F68,"")</f>
        <v/>
      </c>
      <c r="G72" s="247" t="str">
        <f>IFERROR((VLOOKUP(G67,Servings!Z:AF,7,0)/VLOOKUP(G67,Servings!Z:AF,2,0))*G68,"")</f>
        <v/>
      </c>
      <c r="H72" s="249">
        <f>IFERROR((VLOOKUP(H67,Servings!AH:AN,7,0)/VLOOKUP(H67,Servings!AH:AN,2,0))*H68,"")</f>
        <v>0.10666666666666666</v>
      </c>
      <c r="I72" s="245">
        <f>IF($D$67="",0,D72)+IF($E$67="",0,E72)+IF($F$67="",0,F72)+IF($G$67="",0,G72)+IF($H$67="",0,H72)</f>
        <v>0.10666666666666666</v>
      </c>
    </row>
    <row r="73" spans="2:9">
      <c r="B73" s="417"/>
      <c r="C73" s="260"/>
      <c r="D73" s="261"/>
      <c r="E73" s="261"/>
      <c r="F73" s="261"/>
      <c r="G73" s="261"/>
      <c r="H73" s="261"/>
      <c r="I73" s="252"/>
    </row>
    <row r="74" spans="2:9">
      <c r="B74" s="417"/>
      <c r="C74" s="262"/>
      <c r="D74" s="254" t="s">
        <v>465</v>
      </c>
      <c r="E74" s="254" t="s">
        <v>463</v>
      </c>
      <c r="F74" s="261"/>
      <c r="G74" s="261"/>
      <c r="H74" s="261"/>
      <c r="I74" s="252"/>
    </row>
    <row r="75" spans="2:9">
      <c r="B75" s="417"/>
      <c r="C75" s="258" t="s">
        <v>109</v>
      </c>
      <c r="D75" s="243">
        <f>I60+I69</f>
        <v>712.39293504030343</v>
      </c>
      <c r="E75" s="228"/>
      <c r="F75" s="261"/>
      <c r="G75" s="261"/>
      <c r="H75" s="261"/>
      <c r="I75" s="252"/>
    </row>
    <row r="76" spans="2:9">
      <c r="B76" s="417"/>
      <c r="C76" s="258" t="s">
        <v>461</v>
      </c>
      <c r="D76" s="243">
        <f>I61+I70</f>
        <v>99.550630630630621</v>
      </c>
      <c r="E76" s="228"/>
      <c r="F76" s="261"/>
      <c r="G76" s="261"/>
      <c r="H76" s="261"/>
      <c r="I76" s="252"/>
    </row>
    <row r="77" spans="2:9">
      <c r="B77" s="417"/>
      <c r="C77" s="258" t="s">
        <v>45</v>
      </c>
      <c r="D77" s="243">
        <f>I62+I71</f>
        <v>15.60453295400664</v>
      </c>
      <c r="E77" s="228"/>
      <c r="F77" s="261"/>
      <c r="G77" s="261"/>
      <c r="H77" s="261"/>
      <c r="I77" s="252"/>
    </row>
    <row r="78" spans="2:9">
      <c r="B78" s="417"/>
      <c r="C78" s="258" t="s">
        <v>108</v>
      </c>
      <c r="D78" s="243">
        <f>I63+I72</f>
        <v>27.886396396396393</v>
      </c>
      <c r="E78" s="228"/>
      <c r="F78" s="261"/>
      <c r="G78" s="261"/>
      <c r="H78" s="261"/>
      <c r="I78" s="252"/>
    </row>
    <row r="81" spans="2:9">
      <c r="B81" s="417" t="s">
        <v>466</v>
      </c>
      <c r="C81" s="418"/>
      <c r="D81" s="217" t="s">
        <v>45</v>
      </c>
      <c r="E81" s="217" t="s">
        <v>456</v>
      </c>
      <c r="F81" s="217" t="s">
        <v>108</v>
      </c>
      <c r="G81" s="217" t="s">
        <v>128</v>
      </c>
      <c r="H81" s="204" t="s">
        <v>129</v>
      </c>
      <c r="I81" s="252"/>
    </row>
    <row r="82" spans="2:9">
      <c r="B82" s="417"/>
      <c r="C82" s="423"/>
      <c r="D82" s="218"/>
      <c r="E82" s="218"/>
      <c r="F82" s="218"/>
      <c r="G82" s="218"/>
      <c r="H82" s="218"/>
      <c r="I82" s="252"/>
    </row>
    <row r="83" spans="2:9">
      <c r="B83" s="417"/>
      <c r="C83" s="219"/>
      <c r="D83" s="220" t="s">
        <v>457</v>
      </c>
      <c r="E83" s="220" t="s">
        <v>457</v>
      </c>
      <c r="F83" s="220" t="s">
        <v>457</v>
      </c>
      <c r="G83" s="277" t="s">
        <v>457</v>
      </c>
      <c r="H83" s="227" t="s">
        <v>457</v>
      </c>
      <c r="I83" s="252"/>
    </row>
    <row r="84" spans="2:9">
      <c r="B84" s="417"/>
      <c r="C84" s="221" t="s">
        <v>458</v>
      </c>
      <c r="D84" s="210" t="s">
        <v>135</v>
      </c>
      <c r="E84" s="216" t="s">
        <v>170</v>
      </c>
      <c r="F84" s="210" t="s">
        <v>137</v>
      </c>
      <c r="G84" s="280"/>
      <c r="H84" s="211" t="s">
        <v>264</v>
      </c>
      <c r="I84" s="252"/>
    </row>
    <row r="85" spans="2:9">
      <c r="B85" s="417"/>
      <c r="C85" s="256" t="s">
        <v>460</v>
      </c>
      <c r="D85" s="212">
        <v>20</v>
      </c>
      <c r="E85" s="212">
        <v>0</v>
      </c>
      <c r="F85" s="212">
        <v>20</v>
      </c>
      <c r="G85" s="285">
        <v>0</v>
      </c>
      <c r="H85" s="213">
        <v>30</v>
      </c>
      <c r="I85" s="252"/>
    </row>
    <row r="86" spans="2:9">
      <c r="B86" s="417"/>
      <c r="C86" s="256" t="s">
        <v>109</v>
      </c>
      <c r="D86" s="243">
        <f>IFERROR((VLOOKUP(D84,Servings!A:G,4,0)/VLOOKUP(D84,Servings!A:G,2,0))*D85,"")</f>
        <v>38</v>
      </c>
      <c r="E86" s="243">
        <f>IFERROR((VLOOKUP(E84,Servings!R:X,4,0)/VLOOKUP(E84,Servings!R:X,2,0))*E85,"")</f>
        <v>0</v>
      </c>
      <c r="F86" s="243">
        <f>IFERROR((VLOOKUP(F84,Servings!I:O,4,0)/VLOOKUP(F84,Servings!I:O,2,0))*F85,"")</f>
        <v>116</v>
      </c>
      <c r="G86" s="272" t="str">
        <f>IFERROR((VLOOKUP(G84,Servings!Z:AF,4,0)/VLOOKUP(G84,Servings!Z:AF,2,0))*G85,"")</f>
        <v/>
      </c>
      <c r="H86" s="244">
        <f>IFERROR((VLOOKUP(H84,Servings!AH:AN,4,0)/VLOOKUP(H84,Servings!AH:AN,2,0))*H85,"")</f>
        <v>216.81818181818181</v>
      </c>
      <c r="I86" s="245">
        <f>IF($D$84="",0,D86)+IF($E$84="",0,E86)+IF($F$84="",0,F86)+IF($G$84="",0,G86)+IF($H$84="",0,H86)</f>
        <v>370.81818181818181</v>
      </c>
    </row>
    <row r="87" spans="2:9">
      <c r="B87" s="417"/>
      <c r="C87" s="256" t="s">
        <v>461</v>
      </c>
      <c r="D87" s="243">
        <f>IFERROR((VLOOKUP(D84,Servings!A:G,5,0)/VLOOKUP(D84,Servings!A:G,2,0))*D85,"")</f>
        <v>0</v>
      </c>
      <c r="E87" s="243">
        <f>IFERROR((VLOOKUP(E84,Servings!R:X,5,0)/VLOOKUP(E84,Servings!R:X,2,0))*E85,"")</f>
        <v>0</v>
      </c>
      <c r="F87" s="243">
        <f>IFERROR((VLOOKUP(F84,Servings!I:O,5,0)/VLOOKUP(F84,Servings!I:O,2,0))*F85,"")</f>
        <v>1.4</v>
      </c>
      <c r="G87" s="272" t="str">
        <f>IFERROR((VLOOKUP(G84,Servings!Z:AF,5,0)/VLOOKUP(G84,Servings!Z:AF,2,0))*G85,"")</f>
        <v/>
      </c>
      <c r="H87" s="244">
        <f>IFERROR((VLOOKUP(H84,Servings!AH:AN,5,0)/VLOOKUP(H84,Servings!AH:AN,2,0))*H85,"")</f>
        <v>0.39545454545454545</v>
      </c>
      <c r="I87" s="245">
        <f>IF($D$84="",0,D87)+IF($E$84="",0,E87)+IF($F$84="",0,F87)+IF($G$84="",0,G87)+IF($H$84="",0,H87)</f>
        <v>1.7954545454545454</v>
      </c>
    </row>
    <row r="88" spans="2:9">
      <c r="B88" s="417"/>
      <c r="C88" s="256" t="s">
        <v>45</v>
      </c>
      <c r="D88" s="243">
        <f>IFERROR((VLOOKUP(D84,Servings!A:G,6,0)/VLOOKUP(D84,Servings!A:G,2,0))*D85,"")</f>
        <v>5.04</v>
      </c>
      <c r="E88" s="243">
        <f>IFERROR((VLOOKUP(E84,Servings!R:X,6,0)/VLOOKUP(E84,Servings!R:X,2,0))*E85,"")</f>
        <v>0</v>
      </c>
      <c r="F88" s="243">
        <f>IFERROR((VLOOKUP(F84,Servings!I:O,6,0)/VLOOKUP(F84,Servings!I:O,2,0))*F85,"")</f>
        <v>4.0999999999999996</v>
      </c>
      <c r="G88" s="272" t="str">
        <f>IFERROR((VLOOKUP(G84,Servings!Z:AF,6,0)/VLOOKUP(G84,Servings!Z:AF,2,0))*G85,"")</f>
        <v/>
      </c>
      <c r="H88" s="244">
        <f>IFERROR((VLOOKUP(H84,Servings!AH:AN,6,0)/VLOOKUP(H84,Servings!AH:AN,2,0))*H85,"")</f>
        <v>0.32727272727272727</v>
      </c>
      <c r="I88" s="245">
        <f>IF($D$84="",0,D88)+IF($E$84="",0,E88)+IF($F$84="",0,F88)+IF($G$84="",0,G88)+IF($H$84="",0,H88)</f>
        <v>9.4672727272727286</v>
      </c>
    </row>
    <row r="89" spans="2:9">
      <c r="B89" s="417"/>
      <c r="C89" s="257" t="s">
        <v>108</v>
      </c>
      <c r="D89" s="247">
        <f>IFERROR((VLOOKUP(D84,Servings!A:G,7,0)/VLOOKUP(D84,Servings!A:G,2,0))*D85,"")</f>
        <v>2</v>
      </c>
      <c r="E89" s="247">
        <f>IFERROR((VLOOKUP(E84,Servings!R:X,7,0)/VLOOKUP(E84,Servings!R:X,2,0))*E85,"")</f>
        <v>0</v>
      </c>
      <c r="F89" s="247">
        <f>IFERROR((VLOOKUP(F84,Servings!I:O,7,0)/VLOOKUP(F84,Servings!I:O,2,0))*F85,"")</f>
        <v>10.4</v>
      </c>
      <c r="G89" s="247" t="str">
        <f>IFERROR((VLOOKUP(G84,Servings!Z:AF,7,0)/VLOOKUP(G84,Servings!Z:AF,2,0))*G85,"")</f>
        <v/>
      </c>
      <c r="H89" s="249">
        <f>IFERROR((VLOOKUP(H84,Servings!AH:AN,7,0)/VLOOKUP(H84,Servings!AH:AN,2,0))*H85,"")</f>
        <v>23.727272727272727</v>
      </c>
      <c r="I89" s="245">
        <f>IF($D$84="",0,D89)+IF($E$84="",0,E89)+IF($F$84="",0,F89)+IF($G$84="",0,G89)+IF($H$84="",0,H89)</f>
        <v>36.127272727272725</v>
      </c>
    </row>
    <row r="90" spans="2:9">
      <c r="B90" s="417"/>
      <c r="C90" s="258"/>
      <c r="D90" s="259"/>
      <c r="E90" s="259"/>
      <c r="F90" s="259"/>
      <c r="G90" s="259"/>
      <c r="H90" s="259"/>
      <c r="I90" s="252"/>
    </row>
    <row r="91" spans="2:9">
      <c r="B91" s="417"/>
      <c r="C91" s="260"/>
      <c r="D91" s="223"/>
      <c r="E91" s="223"/>
      <c r="F91" s="223"/>
      <c r="G91" s="225"/>
      <c r="H91" s="225"/>
      <c r="I91" s="252"/>
    </row>
    <row r="92" spans="2:9">
      <c r="B92" s="417"/>
      <c r="C92" s="262"/>
      <c r="D92" s="220" t="s">
        <v>462</v>
      </c>
      <c r="E92" s="220" t="s">
        <v>462</v>
      </c>
      <c r="F92" s="220" t="s">
        <v>462</v>
      </c>
      <c r="G92" s="277" t="s">
        <v>462</v>
      </c>
      <c r="H92" s="227" t="s">
        <v>462</v>
      </c>
      <c r="I92" s="252"/>
    </row>
    <row r="93" spans="2:9">
      <c r="B93" s="417"/>
      <c r="C93" s="255" t="s">
        <v>458</v>
      </c>
      <c r="D93" s="210" t="s">
        <v>181</v>
      </c>
      <c r="E93" s="216"/>
      <c r="F93" s="210" t="s">
        <v>147</v>
      </c>
      <c r="G93" s="280"/>
      <c r="H93" s="282" t="s">
        <v>173</v>
      </c>
      <c r="I93" s="252"/>
    </row>
    <row r="94" spans="2:9">
      <c r="B94" s="417"/>
      <c r="C94" s="256" t="s">
        <v>460</v>
      </c>
      <c r="D94" s="212">
        <v>65</v>
      </c>
      <c r="E94" s="212">
        <v>0</v>
      </c>
      <c r="F94" s="212">
        <v>30</v>
      </c>
      <c r="G94" s="285">
        <v>0</v>
      </c>
      <c r="H94" s="213">
        <v>60</v>
      </c>
      <c r="I94" s="252"/>
    </row>
    <row r="95" spans="2:9">
      <c r="B95" s="417"/>
      <c r="C95" s="256" t="s">
        <v>109</v>
      </c>
      <c r="D95" s="243">
        <f>IFERROR((VLOOKUP(D93,Servings!A:G,4,0)/VLOOKUP(D93,Servings!A:G,2,0))*D94,"")</f>
        <v>88.833333333333329</v>
      </c>
      <c r="E95" s="243" t="str">
        <f>IFERROR((VLOOKUP(E93,Servings!R:X,4,0)/VLOOKUP(E93,Servings!R:X,2,0))*E94,"")</f>
        <v/>
      </c>
      <c r="F95" s="243">
        <f>IFERROR((VLOOKUP(F93,Servings!I:O,4,0)/VLOOKUP(F93,Servings!I:O,2,0))*F94,"")</f>
        <v>174</v>
      </c>
      <c r="G95" s="272" t="str">
        <f>IFERROR((VLOOKUP(G93,Servings!Z:AF,4,0)/VLOOKUP(G93,Servings!Z:AF,2,0))*G94,"")</f>
        <v/>
      </c>
      <c r="H95" s="244">
        <f>IFERROR((VLOOKUP(H93,Servings!AH:AN,4,0)/VLOOKUP(H93,Servings!AH:AN,2,0))*H94,"")</f>
        <v>41.578947368421055</v>
      </c>
      <c r="I95" s="245">
        <f>IF($D$93="",0,D95)+IF($E$93="",0,E95)+IF($F$93="",0,F95)+IF($G$93="",0,G95)+IF($H$93="",0,H95)</f>
        <v>304.41228070175436</v>
      </c>
    </row>
    <row r="96" spans="2:9">
      <c r="B96" s="417"/>
      <c r="C96" s="256" t="s">
        <v>461</v>
      </c>
      <c r="D96" s="243">
        <f>IFERROR((VLOOKUP(D93,Servings!A:G,5,0)/VLOOKUP(D93,Servings!A:G,2,0))*D94,"")</f>
        <v>0.39</v>
      </c>
      <c r="E96" s="243" t="str">
        <f>IFERROR((VLOOKUP(E93,Servings!R:X,5,0)/VLOOKUP(E93,Servings!R:X,2,0))*E94,"")</f>
        <v/>
      </c>
      <c r="F96" s="243">
        <f>IFERROR((VLOOKUP(F93,Servings!I:O,5,0)/VLOOKUP(F93,Servings!I:O,2,0))*F94,"")</f>
        <v>2.0999999999999996</v>
      </c>
      <c r="G96" s="272" t="str">
        <f>IFERROR((VLOOKUP(G93,Servings!Z:AF,5,0)/VLOOKUP(G93,Servings!Z:AF,2,0))*G94,"")</f>
        <v/>
      </c>
      <c r="H96" s="244">
        <f>IFERROR((VLOOKUP(H93,Servings!AH:AN,5,0)/VLOOKUP(H93,Servings!AH:AN,2,0))*H94,"")</f>
        <v>10</v>
      </c>
      <c r="I96" s="245">
        <f>IF($D$93="",0,D96)+IF($E$93="",0,E96)+IF($F$93="",0,F96)+IF($G$93="",0,G96)+IF($H$93="",0,H96)</f>
        <v>12.49</v>
      </c>
    </row>
    <row r="97" spans="2:9">
      <c r="B97" s="417"/>
      <c r="C97" s="256" t="s">
        <v>45</v>
      </c>
      <c r="D97" s="243">
        <f>IFERROR((VLOOKUP(D93,Servings!A:G,6,0)/VLOOKUP(D93,Servings!A:G,2,0))*D94,"")</f>
        <v>16.466666666666665</v>
      </c>
      <c r="E97" s="243" t="str">
        <f>IFERROR((VLOOKUP(E93,Servings!R:X,6,0)/VLOOKUP(E93,Servings!R:X,2,0))*E94,"")</f>
        <v/>
      </c>
      <c r="F97" s="243">
        <f>IFERROR((VLOOKUP(F93,Servings!I:O,6,0)/VLOOKUP(F93,Servings!I:O,2,0))*F94,"")</f>
        <v>6.3000000000000007</v>
      </c>
      <c r="G97" s="272" t="str">
        <f>IFERROR((VLOOKUP(G93,Servings!Z:AF,6,0)/VLOOKUP(G93,Servings!Z:AF,2,0))*G94,"")</f>
        <v/>
      </c>
      <c r="H97" s="244">
        <f>IFERROR((VLOOKUP(H93,Servings!AH:AN,6,0)/VLOOKUP(H93,Servings!AH:AN,2,0))*H94,"")</f>
        <v>0.31578947368421051</v>
      </c>
      <c r="I97" s="245">
        <f>IF($D$93="",0,D97)+IF($E$93="",0,E97)+IF($F$93="",0,F97)+IF($G$93="",0,G97)+IF($H$93="",0,H97)</f>
        <v>23.082456140350875</v>
      </c>
    </row>
    <row r="98" spans="2:9">
      <c r="B98" s="417"/>
      <c r="C98" s="257" t="s">
        <v>108</v>
      </c>
      <c r="D98" s="247">
        <f>IFERROR((VLOOKUP(D93,Servings!A:G,7,0)/VLOOKUP(D93,Servings!A:G,2,0))*D94,"")</f>
        <v>2.3833333333333333</v>
      </c>
      <c r="E98" s="247" t="str">
        <f>IFERROR((VLOOKUP(E93,Servings!R:X,7,0)/VLOOKUP(E93,Servings!R:X,2,0))*E94,"")</f>
        <v/>
      </c>
      <c r="F98" s="247">
        <f>IFERROR((VLOOKUP(F93,Servings!I:O,7,0)/VLOOKUP(F93,Servings!I:O,2,0))*F94,"")</f>
        <v>15.9</v>
      </c>
      <c r="G98" s="247" t="str">
        <f>IFERROR((VLOOKUP(G93,Servings!Z:AF,7,0)/VLOOKUP(G93,Servings!Z:AF,2,0))*G94,"")</f>
        <v/>
      </c>
      <c r="H98" s="249">
        <f>IFERROR((VLOOKUP(H93,Servings!AH:AN,7,0)/VLOOKUP(H93,Servings!AH:AN,2,0))*H94,"")</f>
        <v>0</v>
      </c>
      <c r="I98" s="245">
        <f>IF($D$93="",0,D98)+IF($E$93="",0,E98)+IF($F$93="",0,F98)+IF($G$93="",0,G98)+IF($H$93="",0,H98)</f>
        <v>18.283333333333335</v>
      </c>
    </row>
    <row r="99" spans="2:9">
      <c r="B99" s="417"/>
      <c r="C99" s="260"/>
      <c r="D99" s="261"/>
      <c r="E99" s="261"/>
      <c r="F99" s="261"/>
      <c r="G99" s="261"/>
      <c r="H99" s="261"/>
      <c r="I99" s="252"/>
    </row>
    <row r="100" spans="2:9">
      <c r="B100" s="417"/>
      <c r="C100" s="262"/>
      <c r="D100" s="254" t="s">
        <v>466</v>
      </c>
      <c r="E100" s="254" t="s">
        <v>463</v>
      </c>
      <c r="F100" s="261"/>
      <c r="G100" s="261"/>
      <c r="H100" s="261"/>
      <c r="I100" s="252"/>
    </row>
    <row r="101" spans="2:9">
      <c r="B101" s="417"/>
      <c r="C101" s="258" t="s">
        <v>109</v>
      </c>
      <c r="D101" s="243">
        <f>I86+I95</f>
        <v>675.23046251993617</v>
      </c>
      <c r="E101" s="228"/>
      <c r="F101" s="261"/>
      <c r="G101" s="261"/>
      <c r="H101" s="261"/>
      <c r="I101" s="252"/>
    </row>
    <row r="102" spans="2:9">
      <c r="B102" s="417"/>
      <c r="C102" s="258" t="s">
        <v>461</v>
      </c>
      <c r="D102" s="243">
        <f>I87+I96</f>
        <v>14.285454545454545</v>
      </c>
      <c r="E102" s="228"/>
      <c r="F102" s="261"/>
      <c r="G102" s="261"/>
      <c r="H102" s="261"/>
      <c r="I102" s="252"/>
    </row>
    <row r="103" spans="2:9">
      <c r="B103" s="417"/>
      <c r="C103" s="258" t="s">
        <v>45</v>
      </c>
      <c r="D103" s="243">
        <f>I88+I97</f>
        <v>32.5497288676236</v>
      </c>
      <c r="E103" s="228"/>
      <c r="F103" s="261"/>
      <c r="G103" s="261"/>
      <c r="H103" s="261"/>
      <c r="I103" s="252"/>
    </row>
    <row r="104" spans="2:9">
      <c r="B104" s="417"/>
      <c r="C104" s="258" t="s">
        <v>108</v>
      </c>
      <c r="D104" s="243">
        <f>I89+I98</f>
        <v>54.410606060606057</v>
      </c>
      <c r="E104" s="228"/>
      <c r="F104" s="261"/>
      <c r="G104" s="261"/>
      <c r="H104" s="261"/>
      <c r="I104" s="252"/>
    </row>
    <row r="107" spans="2:9">
      <c r="B107" s="417" t="s">
        <v>467</v>
      </c>
      <c r="C107" s="418"/>
      <c r="D107" s="217" t="s">
        <v>45</v>
      </c>
      <c r="E107" s="217" t="s">
        <v>456</v>
      </c>
      <c r="F107" s="217" t="s">
        <v>108</v>
      </c>
      <c r="G107" s="217" t="s">
        <v>128</v>
      </c>
      <c r="H107" s="204" t="s">
        <v>129</v>
      </c>
      <c r="I107" s="252"/>
    </row>
    <row r="108" spans="2:9">
      <c r="B108" s="417"/>
      <c r="C108" s="423"/>
      <c r="D108" s="218"/>
      <c r="E108" s="218"/>
      <c r="F108" s="218"/>
      <c r="G108" s="218"/>
      <c r="H108" s="218"/>
      <c r="I108" s="252"/>
    </row>
    <row r="109" spans="2:9">
      <c r="B109" s="417"/>
      <c r="C109" s="253"/>
      <c r="D109" s="254" t="s">
        <v>457</v>
      </c>
      <c r="E109" s="254" t="s">
        <v>457</v>
      </c>
      <c r="F109" s="254" t="s">
        <v>457</v>
      </c>
      <c r="G109" s="263" t="s">
        <v>457</v>
      </c>
      <c r="H109" s="263" t="s">
        <v>457</v>
      </c>
      <c r="I109" s="252"/>
    </row>
    <row r="110" spans="2:9">
      <c r="B110" s="417"/>
      <c r="C110" s="255" t="s">
        <v>458</v>
      </c>
      <c r="D110" s="240" t="s">
        <v>383</v>
      </c>
      <c r="E110" s="251" t="s">
        <v>424</v>
      </c>
      <c r="F110" s="240" t="s">
        <v>169</v>
      </c>
      <c r="G110" s="241" t="s">
        <v>186</v>
      </c>
      <c r="H110" s="241" t="s">
        <v>187</v>
      </c>
      <c r="I110" s="252"/>
    </row>
    <row r="111" spans="2:9">
      <c r="B111" s="417"/>
      <c r="C111" s="256" t="s">
        <v>460</v>
      </c>
      <c r="D111" s="212">
        <v>5</v>
      </c>
      <c r="E111" s="212">
        <v>30</v>
      </c>
      <c r="F111" s="212">
        <v>15</v>
      </c>
      <c r="G111" s="213">
        <v>20</v>
      </c>
      <c r="H111" s="213">
        <v>50</v>
      </c>
      <c r="I111" s="252"/>
    </row>
    <row r="112" spans="2:9">
      <c r="B112" s="417"/>
      <c r="C112" s="256" t="s">
        <v>109</v>
      </c>
      <c r="D112" s="243">
        <f>IFERROR((VLOOKUP(D110,Servings!A:G,4,0)/VLOOKUP(D110,Servings!A:G,2,0))*D111,"")</f>
        <v>15.394736842105264</v>
      </c>
      <c r="E112" s="243">
        <f>IFERROR((VLOOKUP(E110,Servings!R:X,4,0)/VLOOKUP(E110,Servings!R:X,2,0))*E111,"")</f>
        <v>24.084507042253524</v>
      </c>
      <c r="F112" s="243">
        <f>IFERROR((VLOOKUP(F110,Servings!I:O,4,0)/VLOOKUP(F110,Servings!I:O,2,0))*F111,"")</f>
        <v>111.48648648648648</v>
      </c>
      <c r="G112" s="244">
        <f>IFERROR((VLOOKUP(G110,Servings!Z:AF,4,0)/VLOOKUP(G110,Servings!Z:AF,2,0))*G111,"")</f>
        <v>5.333333333333333</v>
      </c>
      <c r="H112" s="244">
        <f>IFERROR((VLOOKUP(H110,Servings!AH:AN,4,0)/VLOOKUP(H110,Servings!AH:AN,2,0))*H111,"")</f>
        <v>57.291666666666664</v>
      </c>
      <c r="I112" s="245">
        <f>IF($D$110="",0,D112)+IF($E$110="",0,E112)+IF($F$110="",0,F112)+IF($G$110="",0,G112)+IF($H$110="",0,H112)</f>
        <v>213.59073037084528</v>
      </c>
    </row>
    <row r="113" spans="2:9">
      <c r="B113" s="417"/>
      <c r="C113" s="256" t="s">
        <v>461</v>
      </c>
      <c r="D113" s="243">
        <f>IFERROR((VLOOKUP(D110,Servings!A:G,5,0)/VLOOKUP(D110,Servings!A:G,2,0))*D111,"")</f>
        <v>0.44298245614035087</v>
      </c>
      <c r="E113" s="243">
        <f>IFERROR((VLOOKUP(E110,Servings!R:X,5,0)/VLOOKUP(E110,Servings!R:X,2,0))*E111,"")</f>
        <v>5.3661971830985919</v>
      </c>
      <c r="F113" s="243">
        <f>IFERROR((VLOOKUP(F110,Servings!I:O,5,0)/VLOOKUP(F110,Servings!I:O,2,0))*F111,"")</f>
        <v>9.1216216216216214E-2</v>
      </c>
      <c r="G113" s="244">
        <f>IFERROR((VLOOKUP(G110,Servings!Z:AF,5,0)/VLOOKUP(G110,Servings!Z:AF,2,0))*G111,"")</f>
        <v>0.8666666666666667</v>
      </c>
      <c r="H113" s="244">
        <f>IFERROR((VLOOKUP(H110,Servings!AH:AN,5,0)/VLOOKUP(H110,Servings!AH:AN,2,0))*H111,"")</f>
        <v>13.541666666666666</v>
      </c>
      <c r="I113" s="245">
        <f>IF($D$110="",0,D113)+IF($E$110="",0,E113)+IF($F$110="",0,F113)+IF($G$110="",0,G113)+IF($H$110="",0,H113)</f>
        <v>20.30872918878849</v>
      </c>
    </row>
    <row r="114" spans="2:9">
      <c r="B114" s="417"/>
      <c r="C114" s="256" t="s">
        <v>45</v>
      </c>
      <c r="D114" s="243">
        <f>IFERROR((VLOOKUP(D110,Servings!A:G,6,0)/VLOOKUP(D110,Servings!A:G,2,0))*D111,"")</f>
        <v>0.59649122807017541</v>
      </c>
      <c r="E114" s="243">
        <f>IFERROR((VLOOKUP(E110,Servings!R:X,6,0)/VLOOKUP(E110,Servings!R:X,2,0))*E111,"")</f>
        <v>0.56338028169014087</v>
      </c>
      <c r="F114" s="243">
        <f>IFERROR((VLOOKUP(F110,Servings!I:O,6,0)/VLOOKUP(F110,Servings!I:O,2,0))*F111,"")</f>
        <v>9.1216216216216214E-2</v>
      </c>
      <c r="G114" s="244">
        <f>IFERROR((VLOOKUP(G110,Servings!Z:AF,6,0)/VLOOKUP(G110,Servings!Z:AF,2,0))*G111,"")</f>
        <v>0.36000000000000004</v>
      </c>
      <c r="H114" s="244">
        <f>IFERROR((VLOOKUP(H110,Servings!AH:AN,6,0)/VLOOKUP(H110,Servings!AH:AN,2,0))*H111,"")</f>
        <v>0.60416666666666663</v>
      </c>
      <c r="I114" s="245">
        <f>IF($D$110="",0,D114)+IF($E$110="",0,E114)+IF($F$110="",0,F114)+IF($G$110="",0,G114)+IF($H$110="",0,H114)</f>
        <v>2.2152543926431991</v>
      </c>
    </row>
    <row r="115" spans="2:9">
      <c r="B115" s="417"/>
      <c r="C115" s="257" t="s">
        <v>108</v>
      </c>
      <c r="D115" s="247">
        <f>IFERROR((VLOOKUP(D110,Servings!A:G,7,0)/VLOOKUP(D110,Servings!A:G,2,0))*D111,"")</f>
        <v>1.25</v>
      </c>
      <c r="E115" s="247">
        <f>IFERROR((VLOOKUP(E110,Servings!R:X,7,0)/VLOOKUP(E110,Servings!R:X,2,0))*E111,"")</f>
        <v>2.9577464788732393E-2</v>
      </c>
      <c r="F115" s="247">
        <f>IFERROR((VLOOKUP(F110,Servings!I:O,7,0)/VLOOKUP(F110,Servings!I:O,2,0))*F111,"")</f>
        <v>12.364864864864863</v>
      </c>
      <c r="G115" s="249">
        <f>IFERROR((VLOOKUP(G110,Servings!Z:AF,7,0)/VLOOKUP(G110,Servings!Z:AF,2,0))*G111,"")</f>
        <v>0.04</v>
      </c>
      <c r="H115" s="249">
        <f>IFERROR((VLOOKUP(H110,Servings!AH:AN,7,0)/VLOOKUP(H110,Servings!AH:AN,2,0))*H111,"")</f>
        <v>4.1666666666666671E-2</v>
      </c>
      <c r="I115" s="245">
        <f>IF($D$110="",0,D115)+IF($E$110="",0,E115)+IF($F$110="",0,F115)+IF($G$110="",0,G115)+IF($H$110="",0,H115)</f>
        <v>13.72610899632026</v>
      </c>
    </row>
    <row r="116" spans="2:9">
      <c r="B116" s="417"/>
      <c r="C116" s="258"/>
      <c r="D116" s="259"/>
      <c r="E116" s="259"/>
      <c r="F116" s="259"/>
      <c r="G116" s="259"/>
      <c r="H116" s="259"/>
      <c r="I116" s="252"/>
    </row>
    <row r="117" spans="2:9">
      <c r="B117" s="417"/>
      <c r="C117" s="224"/>
      <c r="D117" s="223"/>
      <c r="E117" s="223"/>
      <c r="F117" s="223"/>
      <c r="G117" s="225"/>
      <c r="H117" s="225"/>
      <c r="I117" s="252"/>
    </row>
    <row r="118" spans="2:9">
      <c r="B118" s="417"/>
      <c r="C118" s="226"/>
      <c r="D118" s="220" t="s">
        <v>462</v>
      </c>
      <c r="E118" s="220" t="s">
        <v>462</v>
      </c>
      <c r="F118" s="220" t="s">
        <v>462</v>
      </c>
      <c r="G118" s="227" t="s">
        <v>462</v>
      </c>
      <c r="H118" s="227" t="s">
        <v>462</v>
      </c>
      <c r="I118" s="252"/>
    </row>
    <row r="119" spans="2:9">
      <c r="B119" s="417"/>
      <c r="C119" s="222" t="s">
        <v>458</v>
      </c>
      <c r="D119" s="210"/>
      <c r="E119" s="216"/>
      <c r="F119" s="210"/>
      <c r="G119" s="211"/>
      <c r="H119" s="211" t="s">
        <v>173</v>
      </c>
      <c r="I119" s="252"/>
    </row>
    <row r="120" spans="2:9">
      <c r="B120" s="417"/>
      <c r="C120" s="256" t="s">
        <v>460</v>
      </c>
      <c r="D120" s="212">
        <v>20</v>
      </c>
      <c r="E120" s="212">
        <v>30</v>
      </c>
      <c r="F120" s="212">
        <v>15</v>
      </c>
      <c r="G120" s="213">
        <v>20</v>
      </c>
      <c r="H120" s="213">
        <v>40</v>
      </c>
      <c r="I120" s="252"/>
    </row>
    <row r="121" spans="2:9">
      <c r="B121" s="417"/>
      <c r="C121" s="256" t="s">
        <v>109</v>
      </c>
      <c r="D121" s="243" t="str">
        <f>IFERROR((VLOOKUP(D119,Servings!A:G,4,0)/VLOOKUP(D119,Servings!A:G,2,0))*D120,"")</f>
        <v/>
      </c>
      <c r="E121" s="243" t="str">
        <f>IFERROR((VLOOKUP(E119,Servings!R:X,4,0)/VLOOKUP(E119,Servings!R:X,2,0))*E120,"")</f>
        <v/>
      </c>
      <c r="F121" s="243" t="str">
        <f>IFERROR((VLOOKUP(F119,Servings!I:O,4,0)/VLOOKUP(F119,Servings!I:O,2,0))*F120,"")</f>
        <v/>
      </c>
      <c r="G121" s="244" t="str">
        <f>IFERROR((VLOOKUP(G119,Servings!Z:AF,4,0)/VLOOKUP(G119,Servings!Z:AF,2,0))*G120,"")</f>
        <v/>
      </c>
      <c r="H121" s="244">
        <f>IFERROR((VLOOKUP(H119,Servings!AH:AN,4,0)/VLOOKUP(H119,Servings!AH:AN,2,0))*H120,"")</f>
        <v>27.719298245614038</v>
      </c>
      <c r="I121" s="245">
        <f>IF($D$119="",0,D121)+IF($E$119="",0,E121)+IF($F$119="",0,F121)+IF($G$119="",0,G121)+IF($H$119="",0,H121)</f>
        <v>27.719298245614038</v>
      </c>
    </row>
    <row r="122" spans="2:9">
      <c r="B122" s="417"/>
      <c r="C122" s="256" t="s">
        <v>461</v>
      </c>
      <c r="D122" s="243" t="str">
        <f>IFERROR((VLOOKUP(D119,Servings!A:G,5,0)/VLOOKUP(D119,Servings!A:G,2,0))*D120,"")</f>
        <v/>
      </c>
      <c r="E122" s="243" t="str">
        <f>IFERROR((VLOOKUP(E119,Servings!R:X,5,0)/VLOOKUP(E119,Servings!R:X,2,0))*E120,"")</f>
        <v/>
      </c>
      <c r="F122" s="243" t="str">
        <f>IFERROR((VLOOKUP(F119,Servings!I:O,5,0)/VLOOKUP(F119,Servings!I:O,2,0))*F120,"")</f>
        <v/>
      </c>
      <c r="G122" s="244" t="str">
        <f>IFERROR((VLOOKUP(G119,Servings!Z:AF,5,0)/VLOOKUP(G119,Servings!Z:AF,2,0))*G120,"")</f>
        <v/>
      </c>
      <c r="H122" s="244">
        <f>IFERROR((VLOOKUP(H119,Servings!AH:AN,5,0)/VLOOKUP(H119,Servings!AH:AN,2,0))*H120,"")</f>
        <v>6.6666666666666661</v>
      </c>
      <c r="I122" s="245">
        <f>IF($D$119="",0,D122)+IF($E$119="",0,E122)+IF($F$119="",0,F122)+IF($G$119="",0,G122)+IF($H$119="",0,H122)</f>
        <v>6.6666666666666661</v>
      </c>
    </row>
    <row r="123" spans="2:9">
      <c r="B123" s="417"/>
      <c r="C123" s="256" t="s">
        <v>45</v>
      </c>
      <c r="D123" s="243" t="str">
        <f>IFERROR((VLOOKUP(D119,Servings!A:G,6,0)/VLOOKUP(D119,Servings!A:G,2,0))*D120,"")</f>
        <v/>
      </c>
      <c r="E123" s="243" t="str">
        <f>IFERROR((VLOOKUP(E119,Servings!R:X,6,0)/VLOOKUP(E119,Servings!R:X,2,0))*E120,"")</f>
        <v/>
      </c>
      <c r="F123" s="243" t="str">
        <f>IFERROR((VLOOKUP(F119,Servings!I:O,6,0)/VLOOKUP(F119,Servings!I:O,2,0))*F120,"")</f>
        <v/>
      </c>
      <c r="G123" s="244" t="str">
        <f>IFERROR((VLOOKUP(G119,Servings!Z:AF,6,0)/VLOOKUP(G119,Servings!Z:AF,2,0))*G120,"")</f>
        <v/>
      </c>
      <c r="H123" s="244">
        <f>IFERROR((VLOOKUP(H119,Servings!AH:AN,6,0)/VLOOKUP(H119,Servings!AH:AN,2,0))*H120,"")</f>
        <v>0.21052631578947367</v>
      </c>
      <c r="I123" s="245">
        <f>IF($D$119="",0,D123)+IF($E$119="",0,E123)+IF($F$119="",0,F123)+IF($G$119="",0,G123)+IF($H$119="",0,H123)</f>
        <v>0.21052631578947367</v>
      </c>
    </row>
    <row r="124" spans="2:9">
      <c r="B124" s="417"/>
      <c r="C124" s="257" t="s">
        <v>108</v>
      </c>
      <c r="D124" s="247" t="str">
        <f>IFERROR((VLOOKUP(D119,Servings!A:G,7,0)/VLOOKUP(D119,Servings!A:G,2,0))*D120,"")</f>
        <v/>
      </c>
      <c r="E124" s="247" t="str">
        <f>IFERROR((VLOOKUP(E119,Servings!R:X,7,0)/VLOOKUP(E119,Servings!R:X,2,0))*E120,"")</f>
        <v/>
      </c>
      <c r="F124" s="247" t="str">
        <f>IFERROR((VLOOKUP(F119,Servings!I:O,7,0)/VLOOKUP(F119,Servings!I:O,2,0))*F120,"")</f>
        <v/>
      </c>
      <c r="G124" s="249" t="str">
        <f>IFERROR((VLOOKUP(G119,Servings!Z:AF,7,0)/VLOOKUP(G119,Servings!Z:AF,2,0))*G120,"")</f>
        <v/>
      </c>
      <c r="H124" s="249">
        <f>IFERROR((VLOOKUP(H119,Servings!AH:AN,7,0)/VLOOKUP(H119,Servings!AH:AN,2,0))*H120,"")</f>
        <v>0</v>
      </c>
      <c r="I124" s="245">
        <f>IF($D$119="",0,D124)+IF($E$119="",0,E124)+IF($F$119="",0,F124)+IF($G$119="",0,G124)+IF($H$119="",0,H124)</f>
        <v>0</v>
      </c>
    </row>
    <row r="125" spans="2:9">
      <c r="B125" s="417"/>
      <c r="C125" s="260"/>
      <c r="D125" s="261"/>
      <c r="E125" s="261"/>
      <c r="F125" s="261"/>
      <c r="G125" s="261"/>
      <c r="H125" s="261"/>
      <c r="I125" s="252"/>
    </row>
    <row r="126" spans="2:9">
      <c r="B126" s="417"/>
      <c r="C126" s="262"/>
      <c r="D126" s="254" t="s">
        <v>468</v>
      </c>
      <c r="E126" s="254" t="s">
        <v>463</v>
      </c>
      <c r="F126" s="261"/>
      <c r="G126" s="261"/>
      <c r="H126" s="261"/>
      <c r="I126" s="252"/>
    </row>
    <row r="127" spans="2:9">
      <c r="B127" s="417"/>
      <c r="C127" s="258" t="s">
        <v>109</v>
      </c>
      <c r="D127" s="243">
        <f>I112+I121</f>
        <v>241.31002861645931</v>
      </c>
      <c r="E127" s="264"/>
      <c r="F127" s="261"/>
      <c r="G127" s="261"/>
      <c r="H127" s="261"/>
      <c r="I127" s="252"/>
    </row>
    <row r="128" spans="2:9">
      <c r="B128" s="417"/>
      <c r="C128" s="258" t="s">
        <v>461</v>
      </c>
      <c r="D128" s="243">
        <f>I113+I122</f>
        <v>26.975395855455155</v>
      </c>
      <c r="E128" s="264"/>
      <c r="F128" s="261"/>
      <c r="G128" s="261"/>
      <c r="H128" s="261"/>
      <c r="I128" s="252"/>
    </row>
    <row r="129" spans="2:9">
      <c r="B129" s="417"/>
      <c r="C129" s="258" t="s">
        <v>45</v>
      </c>
      <c r="D129" s="243">
        <f>I114+I123</f>
        <v>2.425780708432673</v>
      </c>
      <c r="E129" s="264"/>
      <c r="F129" s="261"/>
      <c r="G129" s="261"/>
      <c r="H129" s="261"/>
      <c r="I129" s="252"/>
    </row>
    <row r="130" spans="2:9">
      <c r="B130" s="417"/>
      <c r="C130" s="258" t="s">
        <v>108</v>
      </c>
      <c r="D130" s="243">
        <f>I115+I124</f>
        <v>13.72610899632026</v>
      </c>
      <c r="E130" s="264"/>
      <c r="F130" s="261"/>
      <c r="G130" s="261"/>
      <c r="H130" s="261"/>
      <c r="I130" s="252"/>
    </row>
    <row r="133" spans="2:9">
      <c r="B133" s="417" t="s">
        <v>469</v>
      </c>
      <c r="C133" s="418"/>
      <c r="D133" s="217" t="s">
        <v>45</v>
      </c>
      <c r="E133" s="217" t="s">
        <v>456</v>
      </c>
      <c r="F133" s="217" t="s">
        <v>108</v>
      </c>
      <c r="G133" s="217" t="s">
        <v>128</v>
      </c>
      <c r="H133" s="229" t="s">
        <v>129</v>
      </c>
      <c r="I133" s="252"/>
    </row>
    <row r="134" spans="2:9">
      <c r="B134" s="417"/>
      <c r="C134" s="423"/>
      <c r="D134" s="218"/>
      <c r="E134" s="218"/>
      <c r="F134" s="218"/>
      <c r="G134" s="218"/>
      <c r="H134" s="218"/>
      <c r="I134" s="252"/>
    </row>
    <row r="135" spans="2:9">
      <c r="B135" s="417"/>
      <c r="C135" s="253"/>
      <c r="D135" s="220" t="s">
        <v>457</v>
      </c>
      <c r="E135" s="220" t="s">
        <v>457</v>
      </c>
      <c r="F135" s="220" t="s">
        <v>457</v>
      </c>
      <c r="G135" s="227" t="s">
        <v>457</v>
      </c>
      <c r="H135" s="227" t="s">
        <v>457</v>
      </c>
      <c r="I135" s="252"/>
    </row>
    <row r="136" spans="2:9">
      <c r="B136" s="417"/>
      <c r="C136" s="256" t="s">
        <v>458</v>
      </c>
      <c r="D136" s="210" t="s">
        <v>432</v>
      </c>
      <c r="E136" s="216" t="s">
        <v>170</v>
      </c>
      <c r="F136" s="210" t="s">
        <v>137</v>
      </c>
      <c r="G136" s="211" t="s">
        <v>150</v>
      </c>
      <c r="H136" s="211" t="s">
        <v>193</v>
      </c>
      <c r="I136" s="252"/>
    </row>
    <row r="137" spans="2:9">
      <c r="B137" s="417"/>
      <c r="C137" s="256" t="s">
        <v>460</v>
      </c>
      <c r="D137" s="212">
        <v>70</v>
      </c>
      <c r="E137" s="212">
        <v>10</v>
      </c>
      <c r="F137" s="212">
        <v>10</v>
      </c>
      <c r="G137" s="213">
        <v>10</v>
      </c>
      <c r="H137" s="213">
        <v>10</v>
      </c>
      <c r="I137" s="252"/>
    </row>
    <row r="138" spans="2:9">
      <c r="B138" s="417"/>
      <c r="C138" s="256" t="s">
        <v>109</v>
      </c>
      <c r="D138" s="243">
        <f>IFERROR((VLOOKUP(D136,Servings!A:G,4,0)/VLOOKUP(D136,Servings!A:G,2,0))*D137,"")</f>
        <v>92.960000000000008</v>
      </c>
      <c r="E138" s="243">
        <f>IFERROR((VLOOKUP(E136,Servings!R:X,4,0)/VLOOKUP(E136,Servings!R:X,2,0))*E137,"")</f>
        <v>5.3797468354430382</v>
      </c>
      <c r="F138" s="243">
        <f>IFERROR((VLOOKUP(F136,Servings!I:O,4,0)/VLOOKUP(F136,Servings!I:O,2,0))*F137,"")</f>
        <v>58</v>
      </c>
      <c r="G138" s="244">
        <f>IFERROR((VLOOKUP(G136,Servings!Z:AF,4,0)/VLOOKUP(G136,Servings!Z:AF,2,0))*G137,"")</f>
        <v>4.8461538461538458</v>
      </c>
      <c r="H138" s="244">
        <f>IFERROR((VLOOKUP(H136,Servings!AH:AN,4,0)/VLOOKUP(H136,Servings!AH:AN,2,0))*H137,"")</f>
        <v>53.846153846153854</v>
      </c>
      <c r="I138" s="245">
        <f>IF($D$119="",0,D138)+IF($E$119="",0,E138)+IF($F$119="",0,F138)+IF($G$119="",0,G138)+IF($H$119="",0,H138)</f>
        <v>53.846153846153854</v>
      </c>
    </row>
    <row r="139" spans="2:9">
      <c r="B139" s="417"/>
      <c r="C139" s="256" t="s">
        <v>461</v>
      </c>
      <c r="D139" s="243">
        <f>IFERROR((VLOOKUP(D136,Servings!A:G,5,0)/VLOOKUP(D136,Servings!A:G,2,0))*D137,"")</f>
        <v>3.2479999999999998</v>
      </c>
      <c r="E139" s="243">
        <f>IFERROR((VLOOKUP(E136,Servings!R:X,5,0)/VLOOKUP(E136,Servings!R:X,2,0))*E137,"")</f>
        <v>1.2594936708860758</v>
      </c>
      <c r="F139" s="243">
        <f>IFERROR((VLOOKUP(F136,Servings!I:O,5,0)/VLOOKUP(F136,Servings!I:O,2,0))*F137,"")</f>
        <v>0.7</v>
      </c>
      <c r="G139" s="244">
        <f>IFERROR((VLOOKUP(G136,Servings!Z:AF,5,0)/VLOOKUP(G136,Servings!Z:AF,2,0))*G137,"")</f>
        <v>0.52307692307692299</v>
      </c>
      <c r="H139" s="244">
        <f>IFERROR((VLOOKUP(H136,Servings!AH:AN,5,0)/VLOOKUP(H136,Servings!AH:AN,2,0))*H137,"")</f>
        <v>5.7179487179487172</v>
      </c>
      <c r="I139" s="245">
        <f>IF($D$119="",0,D139)+IF($E$119="",0,E139)+IF($F$119="",0,F139)+IF($G$119="",0,G139)+IF($H$119="",0,H139)</f>
        <v>5.7179487179487172</v>
      </c>
    </row>
    <row r="140" spans="2:9">
      <c r="B140" s="417"/>
      <c r="C140" s="256" t="s">
        <v>45</v>
      </c>
      <c r="D140" s="243">
        <f>IFERROR((VLOOKUP(D136,Servings!A:G,6,0)/VLOOKUP(D136,Servings!A:G,2,0))*D137,"")</f>
        <v>3.9759999999999995</v>
      </c>
      <c r="E140" s="243">
        <f>IFERROR((VLOOKUP(E136,Servings!R:X,6,0)/VLOOKUP(E136,Servings!R:X,2,0))*E137,"")</f>
        <v>8.2278481012658236E-2</v>
      </c>
      <c r="F140" s="243">
        <f>IFERROR((VLOOKUP(F136,Servings!I:O,6,0)/VLOOKUP(F136,Servings!I:O,2,0))*F137,"")</f>
        <v>2.0499999999999998</v>
      </c>
      <c r="G140" s="244">
        <f>IFERROR((VLOOKUP(G136,Servings!Z:AF,6,0)/VLOOKUP(G136,Servings!Z:AF,2,0))*G137,"")</f>
        <v>0.50769230769230766</v>
      </c>
      <c r="H140" s="244">
        <f>IFERROR((VLOOKUP(H136,Servings!AH:AN,6,0)/VLOOKUP(H136,Servings!AH:AN,2,0))*H137,"")</f>
        <v>0.71794871794871784</v>
      </c>
      <c r="I140" s="245">
        <f>IF($D$119="",0,D140)+IF($E$119="",0,E140)+IF($F$119="",0,F140)+IF($G$119="",0,G140)+IF($H$119="",0,H140)</f>
        <v>0.71794871794871784</v>
      </c>
    </row>
    <row r="141" spans="2:9">
      <c r="B141" s="417"/>
      <c r="C141" s="257" t="s">
        <v>108</v>
      </c>
      <c r="D141" s="247">
        <f>IFERROR((VLOOKUP(D136,Servings!A:G,7,0)/VLOOKUP(D136,Servings!A:G,2,0))*D137,"")</f>
        <v>7.1680000000000001</v>
      </c>
      <c r="E141" s="247">
        <f>IFERROR((VLOOKUP(E136,Servings!R:X,7,0)/VLOOKUP(E136,Servings!R:X,2,0))*E137,"")</f>
        <v>0</v>
      </c>
      <c r="F141" s="247">
        <f>IFERROR((VLOOKUP(F136,Servings!I:O,7,0)/VLOOKUP(F136,Servings!I:O,2,0))*F137,"")</f>
        <v>5.2</v>
      </c>
      <c r="G141" s="249">
        <f>IFERROR((VLOOKUP(G136,Servings!Z:AF,7,0)/VLOOKUP(G136,Servings!Z:AF,2,0))*G137,"")</f>
        <v>0.08</v>
      </c>
      <c r="H141" s="249">
        <f>IFERROR((VLOOKUP(H136,Servings!AH:AN,7,0)/VLOOKUP(H136,Servings!AH:AN,2,0))*H137,"")</f>
        <v>3.1025641025641026</v>
      </c>
      <c r="I141" s="245">
        <f>IF($D$119="",0,D141)+IF($E$119="",0,E141)+IF($F$119="",0,F141)+IF($G$119="",0,G141)+IF($H$119="",0,H141)</f>
        <v>3.1025641025641026</v>
      </c>
    </row>
    <row r="142" spans="2:9">
      <c r="B142" s="417"/>
      <c r="C142" s="258"/>
      <c r="D142" s="259"/>
      <c r="E142" s="259"/>
      <c r="F142" s="259"/>
      <c r="G142" s="259"/>
      <c r="H142" s="259"/>
      <c r="I142" s="252"/>
    </row>
    <row r="143" spans="2:9">
      <c r="B143" s="417"/>
      <c r="C143" s="260"/>
      <c r="D143" s="259"/>
      <c r="E143" s="259"/>
      <c r="F143" s="259"/>
      <c r="G143" s="261"/>
      <c r="H143" s="261"/>
      <c r="I143" s="252"/>
    </row>
    <row r="144" spans="2:9">
      <c r="B144" s="417"/>
      <c r="C144" s="262"/>
      <c r="D144" s="220" t="s">
        <v>462</v>
      </c>
      <c r="E144" s="220" t="s">
        <v>462</v>
      </c>
      <c r="F144" s="220" t="s">
        <v>462</v>
      </c>
      <c r="G144" s="227" t="s">
        <v>462</v>
      </c>
      <c r="H144" s="227" t="s">
        <v>462</v>
      </c>
      <c r="I144" s="252"/>
    </row>
    <row r="145" spans="2:9">
      <c r="B145" s="417"/>
      <c r="C145" s="256" t="s">
        <v>458</v>
      </c>
      <c r="D145" s="210" t="s">
        <v>432</v>
      </c>
      <c r="E145" s="216" t="s">
        <v>170</v>
      </c>
      <c r="F145" s="210" t="s">
        <v>137</v>
      </c>
      <c r="G145" s="211" t="s">
        <v>178</v>
      </c>
      <c r="H145" s="211" t="s">
        <v>187</v>
      </c>
      <c r="I145" s="252"/>
    </row>
    <row r="146" spans="2:9">
      <c r="B146" s="417"/>
      <c r="C146" s="256" t="s">
        <v>460</v>
      </c>
      <c r="D146" s="212">
        <v>185</v>
      </c>
      <c r="E146" s="212">
        <v>65</v>
      </c>
      <c r="F146" s="212">
        <v>40</v>
      </c>
      <c r="G146" s="213">
        <v>90</v>
      </c>
      <c r="H146" s="213">
        <v>25</v>
      </c>
      <c r="I146" s="252"/>
    </row>
    <row r="147" spans="2:9">
      <c r="B147" s="417"/>
      <c r="C147" s="256" t="s">
        <v>109</v>
      </c>
      <c r="D147" s="243">
        <f>IFERROR((VLOOKUP(D145,Servings!A:G,4,0)/VLOOKUP(D145,Servings!A:G,2,0))*D146,"")</f>
        <v>245.68</v>
      </c>
      <c r="E147" s="243">
        <f>IFERROR((VLOOKUP(E145,Servings!R:X,4,0)/VLOOKUP(E145,Servings!R:X,2,0))*E146,"")</f>
        <v>34.968354430379748</v>
      </c>
      <c r="F147" s="243">
        <f>IFERROR((VLOOKUP(F145,Servings!I:O,4,0)/VLOOKUP(F145,Servings!I:O,2,0))*F146,"")</f>
        <v>232</v>
      </c>
      <c r="G147" s="244">
        <f>IFERROR((VLOOKUP(G145,Servings!Z:AF,4,0)/VLOOKUP(G145,Servings!Z:AF,2,0))*G146,"")</f>
        <v>38.307692307692314</v>
      </c>
      <c r="H147" s="244">
        <f>IFERROR((VLOOKUP(H145,Servings!AH:AN,4,0)/VLOOKUP(H145,Servings!AH:AN,2,0))*H146,"")</f>
        <v>28.645833333333332</v>
      </c>
      <c r="I147" s="245">
        <f>IF($D$145="",0,D147)+IF($E$145="",0,E147)+IF($F$145="",0,F147)+IF($G$145="",0,G147)</f>
        <v>550.95604673807202</v>
      </c>
    </row>
    <row r="148" spans="2:9">
      <c r="B148" s="417"/>
      <c r="C148" s="256" t="s">
        <v>461</v>
      </c>
      <c r="D148" s="243">
        <f>IFERROR((VLOOKUP(D145,Servings!A:G,5,0)/VLOOKUP(D145,Servings!A:G,2,0))*D146,"")</f>
        <v>8.5839999999999996</v>
      </c>
      <c r="E148" s="243">
        <f>IFERROR((VLOOKUP(E145,Servings!R:X,5,0)/VLOOKUP(E145,Servings!R:X,2,0))*E146,"")</f>
        <v>8.1867088607594916</v>
      </c>
      <c r="F148" s="243">
        <f>IFERROR((VLOOKUP(F145,Servings!I:O,5,0)/VLOOKUP(F145,Servings!I:O,2,0))*F146,"")</f>
        <v>2.8</v>
      </c>
      <c r="G148" s="244">
        <f>IFERROR((VLOOKUP(G145,Servings!Z:AF,5,0)/VLOOKUP(G145,Servings!Z:AF,2,0))*G146,"")</f>
        <v>3.5769230769230775</v>
      </c>
      <c r="H148" s="244">
        <f>IFERROR((VLOOKUP(H145,Servings!AH:AN,5,0)/VLOOKUP(H145,Servings!AH:AN,2,0))*H146,"")</f>
        <v>6.770833333333333</v>
      </c>
      <c r="I148" s="245">
        <f>IF($D$145="",0,D148)+IF($E$145="",0,E148)+IF($F$145="",0,F148)+IF($G$145="",0,G148)</f>
        <v>23.147631937682569</v>
      </c>
    </row>
    <row r="149" spans="2:9">
      <c r="B149" s="417"/>
      <c r="C149" s="256" t="s">
        <v>45</v>
      </c>
      <c r="D149" s="243">
        <f>IFERROR((VLOOKUP(D145,Servings!A:G,6,0)/VLOOKUP(D145,Servings!A:G,2,0))*D146,"")</f>
        <v>10.507999999999999</v>
      </c>
      <c r="E149" s="243">
        <f>IFERROR((VLOOKUP(E145,Servings!R:X,6,0)/VLOOKUP(E145,Servings!R:X,2,0))*E146,"")</f>
        <v>0.53481012658227856</v>
      </c>
      <c r="F149" s="243">
        <f>IFERROR((VLOOKUP(F145,Servings!I:O,6,0)/VLOOKUP(F145,Servings!I:O,2,0))*F146,"")</f>
        <v>8.1999999999999993</v>
      </c>
      <c r="G149" s="244">
        <f>IFERROR((VLOOKUP(G145,Servings!Z:AF,6,0)/VLOOKUP(G145,Servings!Z:AF,2,0))*G146,"")</f>
        <v>3.1153846153846154</v>
      </c>
      <c r="H149" s="244">
        <f>IFERROR((VLOOKUP(H145,Servings!AH:AN,6,0)/VLOOKUP(H145,Servings!AH:AN,2,0))*H146,"")</f>
        <v>0.30208333333333331</v>
      </c>
      <c r="I149" s="245">
        <f>IF($D$145="",0,D149)+IF($E$145="",0,E149)+IF($F$145="",0,F149)+IF($G$145="",0,G149)</f>
        <v>22.358194741966894</v>
      </c>
    </row>
    <row r="150" spans="2:9">
      <c r="B150" s="417"/>
      <c r="C150" s="257" t="s">
        <v>108</v>
      </c>
      <c r="D150" s="247">
        <f>IFERROR((VLOOKUP(D145,Servings!A:G,7,0)/VLOOKUP(D145,Servings!A:G,2,0))*D146,"")</f>
        <v>18.944000000000003</v>
      </c>
      <c r="E150" s="247">
        <f>IFERROR((VLOOKUP(E145,Servings!R:X,7,0)/VLOOKUP(E145,Servings!R:X,2,0))*E146,"")</f>
        <v>0</v>
      </c>
      <c r="F150" s="247">
        <f>IFERROR((VLOOKUP(F145,Servings!I:O,7,0)/VLOOKUP(F145,Servings!I:O,2,0))*F146,"")</f>
        <v>20.8</v>
      </c>
      <c r="G150" s="249">
        <f>IFERROR((VLOOKUP(G145,Servings!Z:AF,7,0)/VLOOKUP(G145,Servings!Z:AF,2,0))*G146,"")</f>
        <v>1.2692307692307694</v>
      </c>
      <c r="H150" s="249">
        <f>IFERROR((VLOOKUP(H145,Servings!AH:AN,7,0)/VLOOKUP(H145,Servings!AH:AN,2,0))*H146,"")</f>
        <v>2.0833333333333336E-2</v>
      </c>
      <c r="I150" s="245">
        <f>IF($D$145="",0,D150)+IF($E$145="",0,E150)+IF($F$145="",0,F150)+IF($G$145="",0,G150)</f>
        <v>41.013230769230766</v>
      </c>
    </row>
    <row r="151" spans="2:9">
      <c r="B151" s="417"/>
      <c r="C151" s="260"/>
      <c r="D151" s="261"/>
      <c r="E151" s="261"/>
      <c r="F151" s="261"/>
      <c r="G151" s="261"/>
      <c r="H151" s="261"/>
      <c r="I151" s="252"/>
    </row>
    <row r="152" spans="2:9">
      <c r="B152" s="417"/>
      <c r="C152" s="262"/>
      <c r="D152" s="254" t="s">
        <v>469</v>
      </c>
      <c r="E152" s="254" t="s">
        <v>463</v>
      </c>
      <c r="F152" s="261"/>
      <c r="G152" s="261"/>
      <c r="H152" s="261"/>
      <c r="I152" s="252"/>
    </row>
    <row r="153" spans="2:9">
      <c r="B153" s="417"/>
      <c r="C153" s="258" t="s">
        <v>109</v>
      </c>
      <c r="D153" s="243">
        <f>I138+I147</f>
        <v>604.80220058422583</v>
      </c>
      <c r="E153" s="228"/>
      <c r="F153" s="261"/>
      <c r="G153" s="261"/>
      <c r="H153" s="261"/>
      <c r="I153" s="252"/>
    </row>
    <row r="154" spans="2:9">
      <c r="B154" s="417"/>
      <c r="C154" s="258" t="s">
        <v>461</v>
      </c>
      <c r="D154" s="243">
        <f>I139+I148</f>
        <v>28.865580655631284</v>
      </c>
      <c r="E154" s="228"/>
      <c r="F154" s="261"/>
      <c r="G154" s="261"/>
      <c r="H154" s="261"/>
      <c r="I154" s="252"/>
    </row>
    <row r="155" spans="2:9">
      <c r="B155" s="417"/>
      <c r="C155" s="258" t="s">
        <v>45</v>
      </c>
      <c r="D155" s="243">
        <f>I140+I149</f>
        <v>23.076143459915613</v>
      </c>
      <c r="E155" s="228"/>
      <c r="F155" s="261"/>
      <c r="G155" s="261"/>
      <c r="H155" s="261"/>
      <c r="I155" s="252"/>
    </row>
    <row r="156" spans="2:9">
      <c r="B156" s="417"/>
      <c r="C156" s="258" t="s">
        <v>108</v>
      </c>
      <c r="D156" s="243">
        <f>I141+I150</f>
        <v>44.115794871794868</v>
      </c>
      <c r="E156" s="228"/>
      <c r="F156" s="261"/>
      <c r="G156" s="261"/>
      <c r="H156" s="261"/>
      <c r="I156" s="252"/>
    </row>
    <row r="160" spans="2:9" ht="18" thickBot="1"/>
    <row r="161" spans="2:4">
      <c r="B161" s="420" t="s">
        <v>470</v>
      </c>
      <c r="C161" s="265" t="s">
        <v>109</v>
      </c>
      <c r="D161" s="266">
        <f>D153+D127+D101+D75+D49+D23</f>
        <v>3738.3256146617109</v>
      </c>
    </row>
    <row r="162" spans="2:4">
      <c r="B162" s="421"/>
      <c r="C162" s="258" t="s">
        <v>461</v>
      </c>
      <c r="D162" s="267">
        <f>D154+D128+D102+D76+D50+D24</f>
        <v>272.79048697452788</v>
      </c>
    </row>
    <row r="163" spans="2:4">
      <c r="B163" s="421"/>
      <c r="C163" s="258" t="s">
        <v>45</v>
      </c>
      <c r="D163" s="267">
        <f>D155+D129+D103+D77+D51+D25</f>
        <v>152.30235900873231</v>
      </c>
    </row>
    <row r="164" spans="2:4" ht="18" thickBot="1">
      <c r="B164" s="422"/>
      <c r="C164" s="268" t="s">
        <v>108</v>
      </c>
      <c r="D164" s="269">
        <f>D156+D130+D104+D78+D52+D26</f>
        <v>226.97993790406494</v>
      </c>
    </row>
  </sheetData>
  <sheetProtection sheet="1" scenarios="1" selectLockedCells="1"/>
  <mergeCells count="13">
    <mergeCell ref="B161:B164"/>
    <mergeCell ref="B81:B104"/>
    <mergeCell ref="C81:C82"/>
    <mergeCell ref="B107:B130"/>
    <mergeCell ref="C107:C108"/>
    <mergeCell ref="B133:B156"/>
    <mergeCell ref="C133:C134"/>
    <mergeCell ref="B3:B26"/>
    <mergeCell ref="C3:C4"/>
    <mergeCell ref="B29:B52"/>
    <mergeCell ref="C29:C30"/>
    <mergeCell ref="B55:B78"/>
    <mergeCell ref="C55:C56"/>
  </mergeCells>
  <hyperlinks>
    <hyperlink ref="A7" r:id="rId1" xr:uid="{5CF1D75A-2B61-644A-8525-A1A64B6A74EA}"/>
  </hyperlinks>
  <pageMargins left="0.7" right="0.7" top="0.75" bottom="0.75" header="0.3" footer="0.3"/>
  <pageSetup paperSize="9" scale="24" orientation="portrait"/>
  <drawing r:id="rId2"/>
  <legacyDrawing r:id="rId3"/>
  <mc:AlternateContent xmlns:mc="http://schemas.openxmlformats.org/markup-compatibility/2006">
    <mc:Choice Requires="x14">
      <controls>
        <mc:AlternateContent xmlns:mc="http://schemas.openxmlformats.org/markup-compatibility/2006">
          <mc:Choice Requires="x14">
            <control shapeId="12289" r:id="rId4" name="Scroll Bar 1">
              <controlPr defaultSize="0" autoPict="0">
                <anchor moveWithCells="1">
                  <from>
                    <xdr:col>3</xdr:col>
                    <xdr:colOff>28575</xdr:colOff>
                    <xdr:row>3</xdr:row>
                    <xdr:rowOff>9525</xdr:rowOff>
                  </from>
                  <to>
                    <xdr:col>4</xdr:col>
                    <xdr:colOff>0</xdr:colOff>
                    <xdr:row>3</xdr:row>
                    <xdr:rowOff>200025</xdr:rowOff>
                  </to>
                </anchor>
              </controlPr>
            </control>
          </mc:Choice>
        </mc:AlternateContent>
        <mc:AlternateContent xmlns:mc="http://schemas.openxmlformats.org/markup-compatibility/2006">
          <mc:Choice Requires="x14">
            <control shapeId="12290" r:id="rId5" name="Scroll Bar 2">
              <controlPr defaultSize="0" autoPict="0">
                <anchor moveWithCells="1">
                  <from>
                    <xdr:col>4</xdr:col>
                    <xdr:colOff>38100</xdr:colOff>
                    <xdr:row>3</xdr:row>
                    <xdr:rowOff>9525</xdr:rowOff>
                  </from>
                  <to>
                    <xdr:col>5</xdr:col>
                    <xdr:colOff>0</xdr:colOff>
                    <xdr:row>3</xdr:row>
                    <xdr:rowOff>200025</xdr:rowOff>
                  </to>
                </anchor>
              </controlPr>
            </control>
          </mc:Choice>
        </mc:AlternateContent>
        <mc:AlternateContent xmlns:mc="http://schemas.openxmlformats.org/markup-compatibility/2006">
          <mc:Choice Requires="x14">
            <control shapeId="12291" r:id="rId6" name="Scroll Bar 3">
              <controlPr defaultSize="0" autoPict="0">
                <anchor moveWithCells="1">
                  <from>
                    <xdr:col>5</xdr:col>
                    <xdr:colOff>47625</xdr:colOff>
                    <xdr:row>3</xdr:row>
                    <xdr:rowOff>9525</xdr:rowOff>
                  </from>
                  <to>
                    <xdr:col>6</xdr:col>
                    <xdr:colOff>0</xdr:colOff>
                    <xdr:row>3</xdr:row>
                    <xdr:rowOff>200025</xdr:rowOff>
                  </to>
                </anchor>
              </controlPr>
            </control>
          </mc:Choice>
        </mc:AlternateContent>
        <mc:AlternateContent xmlns:mc="http://schemas.openxmlformats.org/markup-compatibility/2006">
          <mc:Choice Requires="x14">
            <control shapeId="12292" r:id="rId7" name="Scroll Bar 4">
              <controlPr defaultSize="0" autoPict="0">
                <anchor moveWithCells="1">
                  <from>
                    <xdr:col>6</xdr:col>
                    <xdr:colOff>47625</xdr:colOff>
                    <xdr:row>3</xdr:row>
                    <xdr:rowOff>28575</xdr:rowOff>
                  </from>
                  <to>
                    <xdr:col>7</xdr:col>
                    <xdr:colOff>0</xdr:colOff>
                    <xdr:row>3</xdr:row>
                    <xdr:rowOff>200025</xdr:rowOff>
                  </to>
                </anchor>
              </controlPr>
            </control>
          </mc:Choice>
        </mc:AlternateContent>
        <mc:AlternateContent xmlns:mc="http://schemas.openxmlformats.org/markup-compatibility/2006">
          <mc:Choice Requires="x14">
            <control shapeId="12293" r:id="rId8" name="Scroll Bar 5">
              <controlPr defaultSize="0" autoPict="0">
                <anchor moveWithCells="1">
                  <from>
                    <xdr:col>3</xdr:col>
                    <xdr:colOff>28575</xdr:colOff>
                    <xdr:row>12</xdr:row>
                    <xdr:rowOff>28575</xdr:rowOff>
                  </from>
                  <to>
                    <xdr:col>4</xdr:col>
                    <xdr:colOff>0</xdr:colOff>
                    <xdr:row>12</xdr:row>
                    <xdr:rowOff>200025</xdr:rowOff>
                  </to>
                </anchor>
              </controlPr>
            </control>
          </mc:Choice>
        </mc:AlternateContent>
        <mc:AlternateContent xmlns:mc="http://schemas.openxmlformats.org/markup-compatibility/2006">
          <mc:Choice Requires="x14">
            <control shapeId="12294" r:id="rId9" name="Scroll Bar 6">
              <controlPr defaultSize="0" autoPict="0">
                <anchor moveWithCells="1">
                  <from>
                    <xdr:col>4</xdr:col>
                    <xdr:colOff>38100</xdr:colOff>
                    <xdr:row>12</xdr:row>
                    <xdr:rowOff>28575</xdr:rowOff>
                  </from>
                  <to>
                    <xdr:col>5</xdr:col>
                    <xdr:colOff>0</xdr:colOff>
                    <xdr:row>12</xdr:row>
                    <xdr:rowOff>200025</xdr:rowOff>
                  </to>
                </anchor>
              </controlPr>
            </control>
          </mc:Choice>
        </mc:AlternateContent>
        <mc:AlternateContent xmlns:mc="http://schemas.openxmlformats.org/markup-compatibility/2006">
          <mc:Choice Requires="x14">
            <control shapeId="12295" r:id="rId10" name="Scroll Bar 7">
              <controlPr defaultSize="0" autoPict="0">
                <anchor moveWithCells="1">
                  <from>
                    <xdr:col>5</xdr:col>
                    <xdr:colOff>47625</xdr:colOff>
                    <xdr:row>12</xdr:row>
                    <xdr:rowOff>28575</xdr:rowOff>
                  </from>
                  <to>
                    <xdr:col>6</xdr:col>
                    <xdr:colOff>0</xdr:colOff>
                    <xdr:row>12</xdr:row>
                    <xdr:rowOff>200025</xdr:rowOff>
                  </to>
                </anchor>
              </controlPr>
            </control>
          </mc:Choice>
        </mc:AlternateContent>
        <mc:AlternateContent xmlns:mc="http://schemas.openxmlformats.org/markup-compatibility/2006">
          <mc:Choice Requires="x14">
            <control shapeId="12296" r:id="rId11" name="Scroll Bar 8">
              <controlPr defaultSize="0" autoPict="0">
                <anchor moveWithCells="1">
                  <from>
                    <xdr:col>6</xdr:col>
                    <xdr:colOff>28575</xdr:colOff>
                    <xdr:row>12</xdr:row>
                    <xdr:rowOff>28575</xdr:rowOff>
                  </from>
                  <to>
                    <xdr:col>7</xdr:col>
                    <xdr:colOff>0</xdr:colOff>
                    <xdr:row>12</xdr:row>
                    <xdr:rowOff>200025</xdr:rowOff>
                  </to>
                </anchor>
              </controlPr>
            </control>
          </mc:Choice>
        </mc:AlternateContent>
        <mc:AlternateContent xmlns:mc="http://schemas.openxmlformats.org/markup-compatibility/2006">
          <mc:Choice Requires="x14">
            <control shapeId="12297" r:id="rId12" name="Scroll Bar 9">
              <controlPr defaultSize="0" autoPict="0">
                <anchor moveWithCells="1">
                  <from>
                    <xdr:col>7</xdr:col>
                    <xdr:colOff>38100</xdr:colOff>
                    <xdr:row>3</xdr:row>
                    <xdr:rowOff>0</xdr:rowOff>
                  </from>
                  <to>
                    <xdr:col>8</xdr:col>
                    <xdr:colOff>0</xdr:colOff>
                    <xdr:row>3</xdr:row>
                    <xdr:rowOff>200025</xdr:rowOff>
                  </to>
                </anchor>
              </controlPr>
            </control>
          </mc:Choice>
        </mc:AlternateContent>
        <mc:AlternateContent xmlns:mc="http://schemas.openxmlformats.org/markup-compatibility/2006">
          <mc:Choice Requires="x14">
            <control shapeId="12298" r:id="rId13" name="Scroll Bar 10">
              <controlPr defaultSize="0" autoPict="0">
                <anchor moveWithCells="1">
                  <from>
                    <xdr:col>7</xdr:col>
                    <xdr:colOff>9525</xdr:colOff>
                    <xdr:row>12</xdr:row>
                    <xdr:rowOff>9525</xdr:rowOff>
                  </from>
                  <to>
                    <xdr:col>8</xdr:col>
                    <xdr:colOff>0</xdr:colOff>
                    <xdr:row>12</xdr:row>
                    <xdr:rowOff>200025</xdr:rowOff>
                  </to>
                </anchor>
              </controlPr>
            </control>
          </mc:Choice>
        </mc:AlternateContent>
        <mc:AlternateContent xmlns:mc="http://schemas.openxmlformats.org/markup-compatibility/2006">
          <mc:Choice Requires="x14">
            <control shapeId="12299" r:id="rId14" name="Scroll Bar 11">
              <controlPr defaultSize="0" autoPict="0">
                <anchor moveWithCells="1">
                  <from>
                    <xdr:col>3</xdr:col>
                    <xdr:colOff>0</xdr:colOff>
                    <xdr:row>29</xdr:row>
                    <xdr:rowOff>9525</xdr:rowOff>
                  </from>
                  <to>
                    <xdr:col>4</xdr:col>
                    <xdr:colOff>0</xdr:colOff>
                    <xdr:row>29</xdr:row>
                    <xdr:rowOff>200025</xdr:rowOff>
                  </to>
                </anchor>
              </controlPr>
            </control>
          </mc:Choice>
        </mc:AlternateContent>
        <mc:AlternateContent xmlns:mc="http://schemas.openxmlformats.org/markup-compatibility/2006">
          <mc:Choice Requires="x14">
            <control shapeId="12300" r:id="rId15" name="Scroll Bar 12">
              <controlPr defaultSize="0" autoPict="0">
                <anchor moveWithCells="1">
                  <from>
                    <xdr:col>4</xdr:col>
                    <xdr:colOff>0</xdr:colOff>
                    <xdr:row>29</xdr:row>
                    <xdr:rowOff>9525</xdr:rowOff>
                  </from>
                  <to>
                    <xdr:col>5</xdr:col>
                    <xdr:colOff>0</xdr:colOff>
                    <xdr:row>29</xdr:row>
                    <xdr:rowOff>200025</xdr:rowOff>
                  </to>
                </anchor>
              </controlPr>
            </control>
          </mc:Choice>
        </mc:AlternateContent>
        <mc:AlternateContent xmlns:mc="http://schemas.openxmlformats.org/markup-compatibility/2006">
          <mc:Choice Requires="x14">
            <control shapeId="12301" r:id="rId16" name="Scroll Bar 13">
              <controlPr defaultSize="0" autoPict="0">
                <anchor moveWithCells="1">
                  <from>
                    <xdr:col>5</xdr:col>
                    <xdr:colOff>0</xdr:colOff>
                    <xdr:row>29</xdr:row>
                    <xdr:rowOff>9525</xdr:rowOff>
                  </from>
                  <to>
                    <xdr:col>6</xdr:col>
                    <xdr:colOff>0</xdr:colOff>
                    <xdr:row>29</xdr:row>
                    <xdr:rowOff>200025</xdr:rowOff>
                  </to>
                </anchor>
              </controlPr>
            </control>
          </mc:Choice>
        </mc:AlternateContent>
        <mc:AlternateContent xmlns:mc="http://schemas.openxmlformats.org/markup-compatibility/2006">
          <mc:Choice Requires="x14">
            <control shapeId="12302" r:id="rId17" name="Scroll Bar 14">
              <controlPr defaultSize="0" autoPict="0">
                <anchor moveWithCells="1">
                  <from>
                    <xdr:col>6</xdr:col>
                    <xdr:colOff>0</xdr:colOff>
                    <xdr:row>29</xdr:row>
                    <xdr:rowOff>9525</xdr:rowOff>
                  </from>
                  <to>
                    <xdr:col>7</xdr:col>
                    <xdr:colOff>0</xdr:colOff>
                    <xdr:row>29</xdr:row>
                    <xdr:rowOff>200025</xdr:rowOff>
                  </to>
                </anchor>
              </controlPr>
            </control>
          </mc:Choice>
        </mc:AlternateContent>
        <mc:AlternateContent xmlns:mc="http://schemas.openxmlformats.org/markup-compatibility/2006">
          <mc:Choice Requires="x14">
            <control shapeId="12303" r:id="rId18" name="Scroll Bar 15">
              <controlPr defaultSize="0" autoPict="0">
                <anchor moveWithCells="1">
                  <from>
                    <xdr:col>7</xdr:col>
                    <xdr:colOff>0</xdr:colOff>
                    <xdr:row>29</xdr:row>
                    <xdr:rowOff>9525</xdr:rowOff>
                  </from>
                  <to>
                    <xdr:col>8</xdr:col>
                    <xdr:colOff>0</xdr:colOff>
                    <xdr:row>29</xdr:row>
                    <xdr:rowOff>200025</xdr:rowOff>
                  </to>
                </anchor>
              </controlPr>
            </control>
          </mc:Choice>
        </mc:AlternateContent>
        <mc:AlternateContent xmlns:mc="http://schemas.openxmlformats.org/markup-compatibility/2006">
          <mc:Choice Requires="x14">
            <control shapeId="12304" r:id="rId19" name="Scroll Bar 16">
              <controlPr defaultSize="0" autoPict="0">
                <anchor moveWithCells="1">
                  <from>
                    <xdr:col>2</xdr:col>
                    <xdr:colOff>2171700</xdr:colOff>
                    <xdr:row>37</xdr:row>
                    <xdr:rowOff>257175</xdr:rowOff>
                  </from>
                  <to>
                    <xdr:col>4</xdr:col>
                    <xdr:colOff>0</xdr:colOff>
                    <xdr:row>38</xdr:row>
                    <xdr:rowOff>200025</xdr:rowOff>
                  </to>
                </anchor>
              </controlPr>
            </control>
          </mc:Choice>
        </mc:AlternateContent>
        <mc:AlternateContent xmlns:mc="http://schemas.openxmlformats.org/markup-compatibility/2006">
          <mc:Choice Requires="x14">
            <control shapeId="12305" r:id="rId20" name="Scroll Bar 17">
              <controlPr defaultSize="0" autoPict="0">
                <anchor moveWithCells="1">
                  <from>
                    <xdr:col>3</xdr:col>
                    <xdr:colOff>2981325</xdr:colOff>
                    <xdr:row>37</xdr:row>
                    <xdr:rowOff>257175</xdr:rowOff>
                  </from>
                  <to>
                    <xdr:col>5</xdr:col>
                    <xdr:colOff>0</xdr:colOff>
                    <xdr:row>38</xdr:row>
                    <xdr:rowOff>200025</xdr:rowOff>
                  </to>
                </anchor>
              </controlPr>
            </control>
          </mc:Choice>
        </mc:AlternateContent>
        <mc:AlternateContent xmlns:mc="http://schemas.openxmlformats.org/markup-compatibility/2006">
          <mc:Choice Requires="x14">
            <control shapeId="12306" r:id="rId21" name="Scroll Bar 18">
              <controlPr defaultSize="0" autoPict="0">
                <anchor moveWithCells="1">
                  <from>
                    <xdr:col>4</xdr:col>
                    <xdr:colOff>3019425</xdr:colOff>
                    <xdr:row>38</xdr:row>
                    <xdr:rowOff>0</xdr:rowOff>
                  </from>
                  <to>
                    <xdr:col>6</xdr:col>
                    <xdr:colOff>0</xdr:colOff>
                    <xdr:row>38</xdr:row>
                    <xdr:rowOff>200025</xdr:rowOff>
                  </to>
                </anchor>
              </controlPr>
            </control>
          </mc:Choice>
        </mc:AlternateContent>
        <mc:AlternateContent xmlns:mc="http://schemas.openxmlformats.org/markup-compatibility/2006">
          <mc:Choice Requires="x14">
            <control shapeId="12307" r:id="rId22" name="Scroll Bar 19">
              <controlPr defaultSize="0" autoPict="0">
                <anchor moveWithCells="1">
                  <from>
                    <xdr:col>5</xdr:col>
                    <xdr:colOff>3048000</xdr:colOff>
                    <xdr:row>37</xdr:row>
                    <xdr:rowOff>257175</xdr:rowOff>
                  </from>
                  <to>
                    <xdr:col>7</xdr:col>
                    <xdr:colOff>0</xdr:colOff>
                    <xdr:row>38</xdr:row>
                    <xdr:rowOff>200025</xdr:rowOff>
                  </to>
                </anchor>
              </controlPr>
            </control>
          </mc:Choice>
        </mc:AlternateContent>
        <mc:AlternateContent xmlns:mc="http://schemas.openxmlformats.org/markup-compatibility/2006">
          <mc:Choice Requires="x14">
            <control shapeId="12308" r:id="rId23" name="Scroll Bar 20">
              <controlPr defaultSize="0" autoPict="0">
                <anchor moveWithCells="1">
                  <from>
                    <xdr:col>7</xdr:col>
                    <xdr:colOff>0</xdr:colOff>
                    <xdr:row>37</xdr:row>
                    <xdr:rowOff>238125</xdr:rowOff>
                  </from>
                  <to>
                    <xdr:col>8</xdr:col>
                    <xdr:colOff>0</xdr:colOff>
                    <xdr:row>38</xdr:row>
                    <xdr:rowOff>200025</xdr:rowOff>
                  </to>
                </anchor>
              </controlPr>
            </control>
          </mc:Choice>
        </mc:AlternateContent>
        <mc:AlternateContent xmlns:mc="http://schemas.openxmlformats.org/markup-compatibility/2006">
          <mc:Choice Requires="x14">
            <control shapeId="12309" r:id="rId24" name="Scroll Bar 21">
              <controlPr defaultSize="0" autoPict="0">
                <anchor moveWithCells="1">
                  <from>
                    <xdr:col>3</xdr:col>
                    <xdr:colOff>9525</xdr:colOff>
                    <xdr:row>55</xdr:row>
                    <xdr:rowOff>9525</xdr:rowOff>
                  </from>
                  <to>
                    <xdr:col>4</xdr:col>
                    <xdr:colOff>0</xdr:colOff>
                    <xdr:row>55</xdr:row>
                    <xdr:rowOff>200025</xdr:rowOff>
                  </to>
                </anchor>
              </controlPr>
            </control>
          </mc:Choice>
        </mc:AlternateContent>
        <mc:AlternateContent xmlns:mc="http://schemas.openxmlformats.org/markup-compatibility/2006">
          <mc:Choice Requires="x14">
            <control shapeId="12310" r:id="rId25" name="Scroll Bar 22">
              <controlPr defaultSize="0" autoPict="0">
                <anchor moveWithCells="1">
                  <from>
                    <xdr:col>4</xdr:col>
                    <xdr:colOff>9525</xdr:colOff>
                    <xdr:row>55</xdr:row>
                    <xdr:rowOff>9525</xdr:rowOff>
                  </from>
                  <to>
                    <xdr:col>5</xdr:col>
                    <xdr:colOff>0</xdr:colOff>
                    <xdr:row>55</xdr:row>
                    <xdr:rowOff>200025</xdr:rowOff>
                  </to>
                </anchor>
              </controlPr>
            </control>
          </mc:Choice>
        </mc:AlternateContent>
        <mc:AlternateContent xmlns:mc="http://schemas.openxmlformats.org/markup-compatibility/2006">
          <mc:Choice Requires="x14">
            <control shapeId="12311" r:id="rId26" name="Scroll Bar 23">
              <controlPr defaultSize="0" autoPict="0">
                <anchor moveWithCells="1">
                  <from>
                    <xdr:col>5</xdr:col>
                    <xdr:colOff>9525</xdr:colOff>
                    <xdr:row>55</xdr:row>
                    <xdr:rowOff>9525</xdr:rowOff>
                  </from>
                  <to>
                    <xdr:col>6</xdr:col>
                    <xdr:colOff>0</xdr:colOff>
                    <xdr:row>55</xdr:row>
                    <xdr:rowOff>200025</xdr:rowOff>
                  </to>
                </anchor>
              </controlPr>
            </control>
          </mc:Choice>
        </mc:AlternateContent>
        <mc:AlternateContent xmlns:mc="http://schemas.openxmlformats.org/markup-compatibility/2006">
          <mc:Choice Requires="x14">
            <control shapeId="12312" r:id="rId27" name="Scroll Bar 24">
              <controlPr defaultSize="0" autoPict="0">
                <anchor moveWithCells="1">
                  <from>
                    <xdr:col>6</xdr:col>
                    <xdr:colOff>9525</xdr:colOff>
                    <xdr:row>55</xdr:row>
                    <xdr:rowOff>0</xdr:rowOff>
                  </from>
                  <to>
                    <xdr:col>7</xdr:col>
                    <xdr:colOff>0</xdr:colOff>
                    <xdr:row>55</xdr:row>
                    <xdr:rowOff>200025</xdr:rowOff>
                  </to>
                </anchor>
              </controlPr>
            </control>
          </mc:Choice>
        </mc:AlternateContent>
        <mc:AlternateContent xmlns:mc="http://schemas.openxmlformats.org/markup-compatibility/2006">
          <mc:Choice Requires="x14">
            <control shapeId="12313" r:id="rId28" name="Scroll Bar 25">
              <controlPr defaultSize="0" autoPict="0">
                <anchor moveWithCells="1">
                  <from>
                    <xdr:col>7</xdr:col>
                    <xdr:colOff>9525</xdr:colOff>
                    <xdr:row>55</xdr:row>
                    <xdr:rowOff>0</xdr:rowOff>
                  </from>
                  <to>
                    <xdr:col>8</xdr:col>
                    <xdr:colOff>0</xdr:colOff>
                    <xdr:row>55</xdr:row>
                    <xdr:rowOff>200025</xdr:rowOff>
                  </to>
                </anchor>
              </controlPr>
            </control>
          </mc:Choice>
        </mc:AlternateContent>
        <mc:AlternateContent xmlns:mc="http://schemas.openxmlformats.org/markup-compatibility/2006">
          <mc:Choice Requires="x14">
            <control shapeId="12314" r:id="rId29" name="Scroll Bar 26">
              <controlPr defaultSize="0" autoPict="0">
                <anchor moveWithCells="1">
                  <from>
                    <xdr:col>3</xdr:col>
                    <xdr:colOff>9525</xdr:colOff>
                    <xdr:row>63</xdr:row>
                    <xdr:rowOff>257175</xdr:rowOff>
                  </from>
                  <to>
                    <xdr:col>4</xdr:col>
                    <xdr:colOff>0</xdr:colOff>
                    <xdr:row>64</xdr:row>
                    <xdr:rowOff>200025</xdr:rowOff>
                  </to>
                </anchor>
              </controlPr>
            </control>
          </mc:Choice>
        </mc:AlternateContent>
        <mc:AlternateContent xmlns:mc="http://schemas.openxmlformats.org/markup-compatibility/2006">
          <mc:Choice Requires="x14">
            <control shapeId="12315" r:id="rId30" name="Scroll Bar 27">
              <controlPr defaultSize="0" autoPict="0">
                <anchor moveWithCells="1">
                  <from>
                    <xdr:col>4</xdr:col>
                    <xdr:colOff>9525</xdr:colOff>
                    <xdr:row>63</xdr:row>
                    <xdr:rowOff>257175</xdr:rowOff>
                  </from>
                  <to>
                    <xdr:col>5</xdr:col>
                    <xdr:colOff>0</xdr:colOff>
                    <xdr:row>64</xdr:row>
                    <xdr:rowOff>200025</xdr:rowOff>
                  </to>
                </anchor>
              </controlPr>
            </control>
          </mc:Choice>
        </mc:AlternateContent>
        <mc:AlternateContent xmlns:mc="http://schemas.openxmlformats.org/markup-compatibility/2006">
          <mc:Choice Requires="x14">
            <control shapeId="12316" r:id="rId31" name="Scroll Bar 28">
              <controlPr defaultSize="0" autoPict="0">
                <anchor moveWithCells="1">
                  <from>
                    <xdr:col>5</xdr:col>
                    <xdr:colOff>9525</xdr:colOff>
                    <xdr:row>63</xdr:row>
                    <xdr:rowOff>257175</xdr:rowOff>
                  </from>
                  <to>
                    <xdr:col>6</xdr:col>
                    <xdr:colOff>0</xdr:colOff>
                    <xdr:row>64</xdr:row>
                    <xdr:rowOff>200025</xdr:rowOff>
                  </to>
                </anchor>
              </controlPr>
            </control>
          </mc:Choice>
        </mc:AlternateContent>
        <mc:AlternateContent xmlns:mc="http://schemas.openxmlformats.org/markup-compatibility/2006">
          <mc:Choice Requires="x14">
            <control shapeId="12317" r:id="rId32" name="Scroll Bar 29">
              <controlPr defaultSize="0" autoPict="0">
                <anchor moveWithCells="1">
                  <from>
                    <xdr:col>6</xdr:col>
                    <xdr:colOff>9525</xdr:colOff>
                    <xdr:row>63</xdr:row>
                    <xdr:rowOff>238125</xdr:rowOff>
                  </from>
                  <to>
                    <xdr:col>7</xdr:col>
                    <xdr:colOff>0</xdr:colOff>
                    <xdr:row>64</xdr:row>
                    <xdr:rowOff>200025</xdr:rowOff>
                  </to>
                </anchor>
              </controlPr>
            </control>
          </mc:Choice>
        </mc:AlternateContent>
        <mc:AlternateContent xmlns:mc="http://schemas.openxmlformats.org/markup-compatibility/2006">
          <mc:Choice Requires="x14">
            <control shapeId="12318" r:id="rId33" name="Scroll Bar 30">
              <controlPr defaultSize="0" autoPict="0">
                <anchor moveWithCells="1">
                  <from>
                    <xdr:col>7</xdr:col>
                    <xdr:colOff>9525</xdr:colOff>
                    <xdr:row>63</xdr:row>
                    <xdr:rowOff>238125</xdr:rowOff>
                  </from>
                  <to>
                    <xdr:col>8</xdr:col>
                    <xdr:colOff>0</xdr:colOff>
                    <xdr:row>64</xdr:row>
                    <xdr:rowOff>200025</xdr:rowOff>
                  </to>
                </anchor>
              </controlPr>
            </control>
          </mc:Choice>
        </mc:AlternateContent>
        <mc:AlternateContent xmlns:mc="http://schemas.openxmlformats.org/markup-compatibility/2006">
          <mc:Choice Requires="x14">
            <control shapeId="12319" r:id="rId34" name="Scroll Bar 31">
              <controlPr defaultSize="0" autoPict="0">
                <anchor moveWithCells="1">
                  <from>
                    <xdr:col>3</xdr:col>
                    <xdr:colOff>0</xdr:colOff>
                    <xdr:row>81</xdr:row>
                    <xdr:rowOff>9525</xdr:rowOff>
                  </from>
                  <to>
                    <xdr:col>4</xdr:col>
                    <xdr:colOff>0</xdr:colOff>
                    <xdr:row>81</xdr:row>
                    <xdr:rowOff>200025</xdr:rowOff>
                  </to>
                </anchor>
              </controlPr>
            </control>
          </mc:Choice>
        </mc:AlternateContent>
        <mc:AlternateContent xmlns:mc="http://schemas.openxmlformats.org/markup-compatibility/2006">
          <mc:Choice Requires="x14">
            <control shapeId="12320" r:id="rId35" name="Scroll Bar 32">
              <controlPr defaultSize="0" autoPict="0">
                <anchor moveWithCells="1">
                  <from>
                    <xdr:col>4</xdr:col>
                    <xdr:colOff>0</xdr:colOff>
                    <xdr:row>81</xdr:row>
                    <xdr:rowOff>9525</xdr:rowOff>
                  </from>
                  <to>
                    <xdr:col>5</xdr:col>
                    <xdr:colOff>0</xdr:colOff>
                    <xdr:row>81</xdr:row>
                    <xdr:rowOff>200025</xdr:rowOff>
                  </to>
                </anchor>
              </controlPr>
            </control>
          </mc:Choice>
        </mc:AlternateContent>
        <mc:AlternateContent xmlns:mc="http://schemas.openxmlformats.org/markup-compatibility/2006">
          <mc:Choice Requires="x14">
            <control shapeId="12321" r:id="rId36" name="Scroll Bar 33">
              <controlPr defaultSize="0" autoPict="0">
                <anchor moveWithCells="1">
                  <from>
                    <xdr:col>5</xdr:col>
                    <xdr:colOff>0</xdr:colOff>
                    <xdr:row>81</xdr:row>
                    <xdr:rowOff>9525</xdr:rowOff>
                  </from>
                  <to>
                    <xdr:col>6</xdr:col>
                    <xdr:colOff>0</xdr:colOff>
                    <xdr:row>81</xdr:row>
                    <xdr:rowOff>200025</xdr:rowOff>
                  </to>
                </anchor>
              </controlPr>
            </control>
          </mc:Choice>
        </mc:AlternateContent>
        <mc:AlternateContent xmlns:mc="http://schemas.openxmlformats.org/markup-compatibility/2006">
          <mc:Choice Requires="x14">
            <control shapeId="12322" r:id="rId37" name="Scroll Bar 34">
              <controlPr defaultSize="0" autoPict="0">
                <anchor moveWithCells="1">
                  <from>
                    <xdr:col>6</xdr:col>
                    <xdr:colOff>0</xdr:colOff>
                    <xdr:row>81</xdr:row>
                    <xdr:rowOff>9525</xdr:rowOff>
                  </from>
                  <to>
                    <xdr:col>7</xdr:col>
                    <xdr:colOff>0</xdr:colOff>
                    <xdr:row>81</xdr:row>
                    <xdr:rowOff>200025</xdr:rowOff>
                  </to>
                </anchor>
              </controlPr>
            </control>
          </mc:Choice>
        </mc:AlternateContent>
        <mc:AlternateContent xmlns:mc="http://schemas.openxmlformats.org/markup-compatibility/2006">
          <mc:Choice Requires="x14">
            <control shapeId="12323" r:id="rId38" name="Scroll Bar 35">
              <controlPr defaultSize="0" autoPict="0">
                <anchor moveWithCells="1">
                  <from>
                    <xdr:col>7</xdr:col>
                    <xdr:colOff>0</xdr:colOff>
                    <xdr:row>81</xdr:row>
                    <xdr:rowOff>9525</xdr:rowOff>
                  </from>
                  <to>
                    <xdr:col>8</xdr:col>
                    <xdr:colOff>0</xdr:colOff>
                    <xdr:row>81</xdr:row>
                    <xdr:rowOff>200025</xdr:rowOff>
                  </to>
                </anchor>
              </controlPr>
            </control>
          </mc:Choice>
        </mc:AlternateContent>
        <mc:AlternateContent xmlns:mc="http://schemas.openxmlformats.org/markup-compatibility/2006">
          <mc:Choice Requires="x14">
            <control shapeId="12324" r:id="rId39" name="Scroll Bar 36">
              <controlPr defaultSize="0" autoPict="0">
                <anchor moveWithCells="1">
                  <from>
                    <xdr:col>3</xdr:col>
                    <xdr:colOff>114300</xdr:colOff>
                    <xdr:row>90</xdr:row>
                    <xdr:rowOff>9525</xdr:rowOff>
                  </from>
                  <to>
                    <xdr:col>4</xdr:col>
                    <xdr:colOff>104775</xdr:colOff>
                    <xdr:row>90</xdr:row>
                    <xdr:rowOff>200025</xdr:rowOff>
                  </to>
                </anchor>
              </controlPr>
            </control>
          </mc:Choice>
        </mc:AlternateContent>
        <mc:AlternateContent xmlns:mc="http://schemas.openxmlformats.org/markup-compatibility/2006">
          <mc:Choice Requires="x14">
            <control shapeId="12325" r:id="rId40" name="Scroll Bar 37">
              <controlPr defaultSize="0" autoPict="0">
                <anchor moveWithCells="1">
                  <from>
                    <xdr:col>4</xdr:col>
                    <xdr:colOff>114300</xdr:colOff>
                    <xdr:row>90</xdr:row>
                    <xdr:rowOff>9525</xdr:rowOff>
                  </from>
                  <to>
                    <xdr:col>5</xdr:col>
                    <xdr:colOff>104775</xdr:colOff>
                    <xdr:row>90</xdr:row>
                    <xdr:rowOff>200025</xdr:rowOff>
                  </to>
                </anchor>
              </controlPr>
            </control>
          </mc:Choice>
        </mc:AlternateContent>
        <mc:AlternateContent xmlns:mc="http://schemas.openxmlformats.org/markup-compatibility/2006">
          <mc:Choice Requires="x14">
            <control shapeId="12326" r:id="rId41" name="Scroll Bar 38">
              <controlPr defaultSize="0" autoPict="0">
                <anchor moveWithCells="1">
                  <from>
                    <xdr:col>5</xdr:col>
                    <xdr:colOff>114300</xdr:colOff>
                    <xdr:row>90</xdr:row>
                    <xdr:rowOff>9525</xdr:rowOff>
                  </from>
                  <to>
                    <xdr:col>6</xdr:col>
                    <xdr:colOff>104775</xdr:colOff>
                    <xdr:row>90</xdr:row>
                    <xdr:rowOff>200025</xdr:rowOff>
                  </to>
                </anchor>
              </controlPr>
            </control>
          </mc:Choice>
        </mc:AlternateContent>
        <mc:AlternateContent xmlns:mc="http://schemas.openxmlformats.org/markup-compatibility/2006">
          <mc:Choice Requires="x14">
            <control shapeId="12327" r:id="rId42" name="Scroll Bar 39">
              <controlPr defaultSize="0" autoPict="0">
                <anchor moveWithCells="1">
                  <from>
                    <xdr:col>6</xdr:col>
                    <xdr:colOff>114300</xdr:colOff>
                    <xdr:row>90</xdr:row>
                    <xdr:rowOff>9525</xdr:rowOff>
                  </from>
                  <to>
                    <xdr:col>7</xdr:col>
                    <xdr:colOff>104775</xdr:colOff>
                    <xdr:row>90</xdr:row>
                    <xdr:rowOff>200025</xdr:rowOff>
                  </to>
                </anchor>
              </controlPr>
            </control>
          </mc:Choice>
        </mc:AlternateContent>
        <mc:AlternateContent xmlns:mc="http://schemas.openxmlformats.org/markup-compatibility/2006">
          <mc:Choice Requires="x14">
            <control shapeId="12328" r:id="rId43" name="Scroll Bar 40">
              <controlPr defaultSize="0" autoPict="0">
                <anchor moveWithCells="1">
                  <from>
                    <xdr:col>7</xdr:col>
                    <xdr:colOff>114300</xdr:colOff>
                    <xdr:row>90</xdr:row>
                    <xdr:rowOff>9525</xdr:rowOff>
                  </from>
                  <to>
                    <xdr:col>8</xdr:col>
                    <xdr:colOff>104775</xdr:colOff>
                    <xdr:row>90</xdr:row>
                    <xdr:rowOff>200025</xdr:rowOff>
                  </to>
                </anchor>
              </controlPr>
            </control>
          </mc:Choice>
        </mc:AlternateContent>
        <mc:AlternateContent xmlns:mc="http://schemas.openxmlformats.org/markup-compatibility/2006">
          <mc:Choice Requires="x14">
            <control shapeId="12329" r:id="rId44" name="Scroll Bar 41">
              <controlPr defaultSize="0" autoPict="0">
                <anchor moveWithCells="1">
                  <from>
                    <xdr:col>3</xdr:col>
                    <xdr:colOff>9525</xdr:colOff>
                    <xdr:row>107</xdr:row>
                    <xdr:rowOff>9525</xdr:rowOff>
                  </from>
                  <to>
                    <xdr:col>4</xdr:col>
                    <xdr:colOff>0</xdr:colOff>
                    <xdr:row>107</xdr:row>
                    <xdr:rowOff>200025</xdr:rowOff>
                  </to>
                </anchor>
              </controlPr>
            </control>
          </mc:Choice>
        </mc:AlternateContent>
        <mc:AlternateContent xmlns:mc="http://schemas.openxmlformats.org/markup-compatibility/2006">
          <mc:Choice Requires="x14">
            <control shapeId="12330" r:id="rId45" name="Scroll Bar 42">
              <controlPr defaultSize="0" autoPict="0">
                <anchor moveWithCells="1">
                  <from>
                    <xdr:col>4</xdr:col>
                    <xdr:colOff>9525</xdr:colOff>
                    <xdr:row>107</xdr:row>
                    <xdr:rowOff>9525</xdr:rowOff>
                  </from>
                  <to>
                    <xdr:col>5</xdr:col>
                    <xdr:colOff>0</xdr:colOff>
                    <xdr:row>107</xdr:row>
                    <xdr:rowOff>200025</xdr:rowOff>
                  </to>
                </anchor>
              </controlPr>
            </control>
          </mc:Choice>
        </mc:AlternateContent>
        <mc:AlternateContent xmlns:mc="http://schemas.openxmlformats.org/markup-compatibility/2006">
          <mc:Choice Requires="x14">
            <control shapeId="12331" r:id="rId46" name="Scroll Bar 43">
              <controlPr defaultSize="0" autoPict="0">
                <anchor moveWithCells="1">
                  <from>
                    <xdr:col>5</xdr:col>
                    <xdr:colOff>9525</xdr:colOff>
                    <xdr:row>107</xdr:row>
                    <xdr:rowOff>9525</xdr:rowOff>
                  </from>
                  <to>
                    <xdr:col>6</xdr:col>
                    <xdr:colOff>0</xdr:colOff>
                    <xdr:row>107</xdr:row>
                    <xdr:rowOff>200025</xdr:rowOff>
                  </to>
                </anchor>
              </controlPr>
            </control>
          </mc:Choice>
        </mc:AlternateContent>
        <mc:AlternateContent xmlns:mc="http://schemas.openxmlformats.org/markup-compatibility/2006">
          <mc:Choice Requires="x14">
            <control shapeId="12332" r:id="rId47" name="Scroll Bar 44">
              <controlPr defaultSize="0" autoPict="0">
                <anchor moveWithCells="1">
                  <from>
                    <xdr:col>6</xdr:col>
                    <xdr:colOff>9525</xdr:colOff>
                    <xdr:row>107</xdr:row>
                    <xdr:rowOff>9525</xdr:rowOff>
                  </from>
                  <to>
                    <xdr:col>7</xdr:col>
                    <xdr:colOff>0</xdr:colOff>
                    <xdr:row>107</xdr:row>
                    <xdr:rowOff>200025</xdr:rowOff>
                  </to>
                </anchor>
              </controlPr>
            </control>
          </mc:Choice>
        </mc:AlternateContent>
        <mc:AlternateContent xmlns:mc="http://schemas.openxmlformats.org/markup-compatibility/2006">
          <mc:Choice Requires="x14">
            <control shapeId="12333" r:id="rId48" name="Scroll Bar 45">
              <controlPr defaultSize="0" autoPict="0">
                <anchor moveWithCells="1">
                  <from>
                    <xdr:col>6</xdr:col>
                    <xdr:colOff>3048000</xdr:colOff>
                    <xdr:row>107</xdr:row>
                    <xdr:rowOff>9525</xdr:rowOff>
                  </from>
                  <to>
                    <xdr:col>8</xdr:col>
                    <xdr:colOff>0</xdr:colOff>
                    <xdr:row>107</xdr:row>
                    <xdr:rowOff>200025</xdr:rowOff>
                  </to>
                </anchor>
              </controlPr>
            </control>
          </mc:Choice>
        </mc:AlternateContent>
        <mc:AlternateContent xmlns:mc="http://schemas.openxmlformats.org/markup-compatibility/2006">
          <mc:Choice Requires="x14">
            <control shapeId="12334" r:id="rId49" name="Scroll Bar 46">
              <controlPr defaultSize="0" autoPict="0">
                <anchor moveWithCells="1">
                  <from>
                    <xdr:col>3</xdr:col>
                    <xdr:colOff>38100</xdr:colOff>
                    <xdr:row>115</xdr:row>
                    <xdr:rowOff>238125</xdr:rowOff>
                  </from>
                  <to>
                    <xdr:col>4</xdr:col>
                    <xdr:colOff>9525</xdr:colOff>
                    <xdr:row>116</xdr:row>
                    <xdr:rowOff>200025</xdr:rowOff>
                  </to>
                </anchor>
              </controlPr>
            </control>
          </mc:Choice>
        </mc:AlternateContent>
        <mc:AlternateContent xmlns:mc="http://schemas.openxmlformats.org/markup-compatibility/2006">
          <mc:Choice Requires="x14">
            <control shapeId="12335" r:id="rId50" name="Scroll Bar 47">
              <controlPr defaultSize="0" autoPict="0">
                <anchor moveWithCells="1">
                  <from>
                    <xdr:col>4</xdr:col>
                    <xdr:colOff>28575</xdr:colOff>
                    <xdr:row>115</xdr:row>
                    <xdr:rowOff>238125</xdr:rowOff>
                  </from>
                  <to>
                    <xdr:col>5</xdr:col>
                    <xdr:colOff>0</xdr:colOff>
                    <xdr:row>116</xdr:row>
                    <xdr:rowOff>200025</xdr:rowOff>
                  </to>
                </anchor>
              </controlPr>
            </control>
          </mc:Choice>
        </mc:AlternateContent>
        <mc:AlternateContent xmlns:mc="http://schemas.openxmlformats.org/markup-compatibility/2006">
          <mc:Choice Requires="x14">
            <control shapeId="12336" r:id="rId51" name="Scroll Bar 48">
              <controlPr defaultSize="0" autoPict="0">
                <anchor moveWithCells="1">
                  <from>
                    <xdr:col>5</xdr:col>
                    <xdr:colOff>28575</xdr:colOff>
                    <xdr:row>115</xdr:row>
                    <xdr:rowOff>238125</xdr:rowOff>
                  </from>
                  <to>
                    <xdr:col>6</xdr:col>
                    <xdr:colOff>0</xdr:colOff>
                    <xdr:row>116</xdr:row>
                    <xdr:rowOff>200025</xdr:rowOff>
                  </to>
                </anchor>
              </controlPr>
            </control>
          </mc:Choice>
        </mc:AlternateContent>
        <mc:AlternateContent xmlns:mc="http://schemas.openxmlformats.org/markup-compatibility/2006">
          <mc:Choice Requires="x14">
            <control shapeId="12337" r:id="rId52" name="Scroll Bar 49">
              <controlPr defaultSize="0" autoPict="0">
                <anchor moveWithCells="1">
                  <from>
                    <xdr:col>6</xdr:col>
                    <xdr:colOff>28575</xdr:colOff>
                    <xdr:row>115</xdr:row>
                    <xdr:rowOff>238125</xdr:rowOff>
                  </from>
                  <to>
                    <xdr:col>7</xdr:col>
                    <xdr:colOff>0</xdr:colOff>
                    <xdr:row>116</xdr:row>
                    <xdr:rowOff>200025</xdr:rowOff>
                  </to>
                </anchor>
              </controlPr>
            </control>
          </mc:Choice>
        </mc:AlternateContent>
        <mc:AlternateContent xmlns:mc="http://schemas.openxmlformats.org/markup-compatibility/2006">
          <mc:Choice Requires="x14">
            <control shapeId="12338" r:id="rId53" name="Scroll Bar 50">
              <controlPr defaultSize="0" autoPict="0">
                <anchor moveWithCells="1">
                  <from>
                    <xdr:col>7</xdr:col>
                    <xdr:colOff>9525</xdr:colOff>
                    <xdr:row>115</xdr:row>
                    <xdr:rowOff>238125</xdr:rowOff>
                  </from>
                  <to>
                    <xdr:col>8</xdr:col>
                    <xdr:colOff>0</xdr:colOff>
                    <xdr:row>116</xdr:row>
                    <xdr:rowOff>200025</xdr:rowOff>
                  </to>
                </anchor>
              </controlPr>
            </control>
          </mc:Choice>
        </mc:AlternateContent>
        <mc:AlternateContent xmlns:mc="http://schemas.openxmlformats.org/markup-compatibility/2006">
          <mc:Choice Requires="x14">
            <control shapeId="12339" r:id="rId54" name="Scroll Bar 51">
              <controlPr defaultSize="0" autoPict="0">
                <anchor moveWithCells="1">
                  <from>
                    <xdr:col>2</xdr:col>
                    <xdr:colOff>2257425</xdr:colOff>
                    <xdr:row>133</xdr:row>
                    <xdr:rowOff>9525</xdr:rowOff>
                  </from>
                  <to>
                    <xdr:col>4</xdr:col>
                    <xdr:colOff>0</xdr:colOff>
                    <xdr:row>133</xdr:row>
                    <xdr:rowOff>200025</xdr:rowOff>
                  </to>
                </anchor>
              </controlPr>
            </control>
          </mc:Choice>
        </mc:AlternateContent>
        <mc:AlternateContent xmlns:mc="http://schemas.openxmlformats.org/markup-compatibility/2006">
          <mc:Choice Requires="x14">
            <control shapeId="12340" r:id="rId55" name="Scroll Bar 52">
              <controlPr defaultSize="0" autoPict="0">
                <anchor moveWithCells="1">
                  <from>
                    <xdr:col>3</xdr:col>
                    <xdr:colOff>3048000</xdr:colOff>
                    <xdr:row>133</xdr:row>
                    <xdr:rowOff>9525</xdr:rowOff>
                  </from>
                  <to>
                    <xdr:col>5</xdr:col>
                    <xdr:colOff>0</xdr:colOff>
                    <xdr:row>133</xdr:row>
                    <xdr:rowOff>200025</xdr:rowOff>
                  </to>
                </anchor>
              </controlPr>
            </control>
          </mc:Choice>
        </mc:AlternateContent>
        <mc:AlternateContent xmlns:mc="http://schemas.openxmlformats.org/markup-compatibility/2006">
          <mc:Choice Requires="x14">
            <control shapeId="12341" r:id="rId56" name="Scroll Bar 53">
              <controlPr defaultSize="0" autoPict="0">
                <anchor moveWithCells="1">
                  <from>
                    <xdr:col>5</xdr:col>
                    <xdr:colOff>0</xdr:colOff>
                    <xdr:row>133</xdr:row>
                    <xdr:rowOff>9525</xdr:rowOff>
                  </from>
                  <to>
                    <xdr:col>6</xdr:col>
                    <xdr:colOff>0</xdr:colOff>
                    <xdr:row>133</xdr:row>
                    <xdr:rowOff>200025</xdr:rowOff>
                  </to>
                </anchor>
              </controlPr>
            </control>
          </mc:Choice>
        </mc:AlternateContent>
        <mc:AlternateContent xmlns:mc="http://schemas.openxmlformats.org/markup-compatibility/2006">
          <mc:Choice Requires="x14">
            <control shapeId="12342" r:id="rId57" name="Scroll Bar 54">
              <controlPr defaultSize="0" autoPict="0">
                <anchor moveWithCells="1">
                  <from>
                    <xdr:col>6</xdr:col>
                    <xdr:colOff>0</xdr:colOff>
                    <xdr:row>133</xdr:row>
                    <xdr:rowOff>9525</xdr:rowOff>
                  </from>
                  <to>
                    <xdr:col>7</xdr:col>
                    <xdr:colOff>0</xdr:colOff>
                    <xdr:row>133</xdr:row>
                    <xdr:rowOff>200025</xdr:rowOff>
                  </to>
                </anchor>
              </controlPr>
            </control>
          </mc:Choice>
        </mc:AlternateContent>
        <mc:AlternateContent xmlns:mc="http://schemas.openxmlformats.org/markup-compatibility/2006">
          <mc:Choice Requires="x14">
            <control shapeId="12343" r:id="rId58" name="Scroll Bar 55">
              <controlPr defaultSize="0" autoPict="0">
                <anchor moveWithCells="1">
                  <from>
                    <xdr:col>7</xdr:col>
                    <xdr:colOff>0</xdr:colOff>
                    <xdr:row>133</xdr:row>
                    <xdr:rowOff>9525</xdr:rowOff>
                  </from>
                  <to>
                    <xdr:col>8</xdr:col>
                    <xdr:colOff>0</xdr:colOff>
                    <xdr:row>133</xdr:row>
                    <xdr:rowOff>200025</xdr:rowOff>
                  </to>
                </anchor>
              </controlPr>
            </control>
          </mc:Choice>
        </mc:AlternateContent>
        <mc:AlternateContent xmlns:mc="http://schemas.openxmlformats.org/markup-compatibility/2006">
          <mc:Choice Requires="x14">
            <control shapeId="12344" r:id="rId59" name="Scroll Bar 56">
              <controlPr defaultSize="0" autoPict="0">
                <anchor moveWithCells="1">
                  <from>
                    <xdr:col>2</xdr:col>
                    <xdr:colOff>2257425</xdr:colOff>
                    <xdr:row>142</xdr:row>
                    <xdr:rowOff>9525</xdr:rowOff>
                  </from>
                  <to>
                    <xdr:col>4</xdr:col>
                    <xdr:colOff>0</xdr:colOff>
                    <xdr:row>142</xdr:row>
                    <xdr:rowOff>200025</xdr:rowOff>
                  </to>
                </anchor>
              </controlPr>
            </control>
          </mc:Choice>
        </mc:AlternateContent>
        <mc:AlternateContent xmlns:mc="http://schemas.openxmlformats.org/markup-compatibility/2006">
          <mc:Choice Requires="x14">
            <control shapeId="12345" r:id="rId60" name="Scroll Bar 57">
              <controlPr defaultSize="0" autoPict="0">
                <anchor moveWithCells="1">
                  <from>
                    <xdr:col>3</xdr:col>
                    <xdr:colOff>3038475</xdr:colOff>
                    <xdr:row>142</xdr:row>
                    <xdr:rowOff>9525</xdr:rowOff>
                  </from>
                  <to>
                    <xdr:col>5</xdr:col>
                    <xdr:colOff>0</xdr:colOff>
                    <xdr:row>142</xdr:row>
                    <xdr:rowOff>200025</xdr:rowOff>
                  </to>
                </anchor>
              </controlPr>
            </control>
          </mc:Choice>
        </mc:AlternateContent>
        <mc:AlternateContent xmlns:mc="http://schemas.openxmlformats.org/markup-compatibility/2006">
          <mc:Choice Requires="x14">
            <control shapeId="12346" r:id="rId61" name="Scroll Bar 58">
              <controlPr defaultSize="0" autoPict="0">
                <anchor moveWithCells="1">
                  <from>
                    <xdr:col>4</xdr:col>
                    <xdr:colOff>3048000</xdr:colOff>
                    <xdr:row>142</xdr:row>
                    <xdr:rowOff>9525</xdr:rowOff>
                  </from>
                  <to>
                    <xdr:col>6</xdr:col>
                    <xdr:colOff>0</xdr:colOff>
                    <xdr:row>142</xdr:row>
                    <xdr:rowOff>200025</xdr:rowOff>
                  </to>
                </anchor>
              </controlPr>
            </control>
          </mc:Choice>
        </mc:AlternateContent>
        <mc:AlternateContent xmlns:mc="http://schemas.openxmlformats.org/markup-compatibility/2006">
          <mc:Choice Requires="x14">
            <control shapeId="12347" r:id="rId62" name="Scroll Bar 59">
              <controlPr defaultSize="0" autoPict="0">
                <anchor moveWithCells="1">
                  <from>
                    <xdr:col>5</xdr:col>
                    <xdr:colOff>3048000</xdr:colOff>
                    <xdr:row>142</xdr:row>
                    <xdr:rowOff>9525</xdr:rowOff>
                  </from>
                  <to>
                    <xdr:col>7</xdr:col>
                    <xdr:colOff>0</xdr:colOff>
                    <xdr:row>142</xdr:row>
                    <xdr:rowOff>200025</xdr:rowOff>
                  </to>
                </anchor>
              </controlPr>
            </control>
          </mc:Choice>
        </mc:AlternateContent>
        <mc:AlternateContent xmlns:mc="http://schemas.openxmlformats.org/markup-compatibility/2006">
          <mc:Choice Requires="x14">
            <control shapeId="12348" r:id="rId63" name="Scroll Bar 60">
              <controlPr defaultSize="0" autoPict="0">
                <anchor moveWithCells="1">
                  <from>
                    <xdr:col>6</xdr:col>
                    <xdr:colOff>3048000</xdr:colOff>
                    <xdr:row>142</xdr:row>
                    <xdr:rowOff>9525</xdr:rowOff>
                  </from>
                  <to>
                    <xdr:col>8</xdr:col>
                    <xdr:colOff>0</xdr:colOff>
                    <xdr:row>142</xdr:row>
                    <xdr:rowOff>200025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3">
        <x14:dataValidation type="list" allowBlank="1" showInputMessage="1" showErrorMessage="1" xr:uid="{ECF4A970-DA5B-964C-B960-BB1474B042C3}">
          <x14:formula1>
            <xm:f>Servings!$AH$3:$AH$37</xm:f>
          </x14:formula1>
          <xm:sqref>H6 H15 H32 H41 H58 H67 H84 H93 H110 H119 H136 H145</xm:sqref>
        </x14:dataValidation>
        <x14:dataValidation type="list" allowBlank="1" showInputMessage="1" showErrorMessage="1" xr:uid="{3FAB1084-D25F-6849-9011-9C41029F893A}">
          <x14:formula1>
            <xm:f>Servings!$Z$3:$Z$33</xm:f>
          </x14:formula1>
          <xm:sqref>G6</xm:sqref>
        </x14:dataValidation>
        <x14:dataValidation type="list" allowBlank="1" showInputMessage="1" showErrorMessage="1" xr:uid="{31B8CAB3-E723-A94B-88E8-A8FCDB3263C0}">
          <x14:formula1>
            <xm:f>Servings!$I$3:$I$24</xm:f>
          </x14:formula1>
          <xm:sqref>F6</xm:sqref>
        </x14:dataValidation>
        <x14:dataValidation type="list" allowBlank="1" showInputMessage="1" showErrorMessage="1" xr:uid="{5D7871F5-926E-D641-91E7-6C9A515E65B0}">
          <x14:formula1>
            <xm:f>Servings!$R$3:$R$80</xm:f>
          </x14:formula1>
          <xm:sqref>E6</xm:sqref>
        </x14:dataValidation>
        <x14:dataValidation type="list" allowBlank="1" showInputMessage="1" showErrorMessage="1" xr:uid="{8811B696-7040-554F-AA85-E24A15E65C28}">
          <x14:formula1>
            <xm:f>Servings!$A$3:$A$67</xm:f>
          </x14:formula1>
          <xm:sqref>D6</xm:sqref>
        </x14:dataValidation>
        <x14:dataValidation type="list" allowBlank="1" showInputMessage="1" showErrorMessage="1" xr:uid="{E8D92502-3398-4C47-8191-04F3605844F8}">
          <x14:formula1>
            <xm:f>Servings!$A$3:$A$62</xm:f>
          </x14:formula1>
          <xm:sqref>D15 D32 D41 D58 D67 D84 D93 D110 D119 D136 D145</xm:sqref>
        </x14:dataValidation>
        <x14:dataValidation type="list" allowBlank="1" showInputMessage="1" showErrorMessage="1" xr:uid="{D39301F2-3765-9141-8A67-1753724CB1B4}">
          <x14:formula1>
            <xm:f>Servings!$A$6:$A$62</xm:f>
          </x14:formula1>
          <xm:sqref>D40 D14</xm:sqref>
        </x14:dataValidation>
        <x14:dataValidation type="list" allowBlank="1" showInputMessage="1" showErrorMessage="1" xr:uid="{CB334003-6F8A-1245-AFE8-EC4B1AD49506}">
          <x14:formula1>
            <xm:f>Servings!$I$6:$I$20</xm:f>
          </x14:formula1>
          <xm:sqref>F40 F14</xm:sqref>
        </x14:dataValidation>
        <x14:dataValidation type="list" allowBlank="1" showInputMessage="1" showErrorMessage="1" xr:uid="{5C1FA721-41DC-0A45-92CE-E5F8954FAE1C}">
          <x14:formula1>
            <xm:f>Servings!$I$3:$I$19</xm:f>
          </x14:formula1>
          <xm:sqref>F15 F32 F41 F58 F67 F84 F93 F110 F119 F136 F145</xm:sqref>
        </x14:dataValidation>
        <x14:dataValidation type="list" allowBlank="1" showInputMessage="1" showErrorMessage="1" xr:uid="{B2CE954A-E8EB-DA41-A235-A63AE0FF2788}">
          <x14:formula1>
            <xm:f>Servings!$R$3:$R$71</xm:f>
          </x14:formula1>
          <xm:sqref>E15 E32 E41 E58 E67 E84 E93 E110 E119 E136 E145</xm:sqref>
        </x14:dataValidation>
        <x14:dataValidation type="list" allowBlank="1" showInputMessage="1" showErrorMessage="1" xr:uid="{3982261D-35A8-FF41-A46C-5D63D06AF50C}">
          <x14:formula1>
            <xm:f>Servings!$R$6:$R$71</xm:f>
          </x14:formula1>
          <xm:sqref>E40 E14</xm:sqref>
        </x14:dataValidation>
        <x14:dataValidation type="list" allowBlank="1" showInputMessage="1" showErrorMessage="1" xr:uid="{0857E009-1F5F-5F43-A78B-91A64F9DC7DE}">
          <x14:formula1>
            <xm:f>Servings!$Z$6:$Z$34</xm:f>
          </x14:formula1>
          <xm:sqref>G14:H14 G40:H40</xm:sqref>
        </x14:dataValidation>
        <x14:dataValidation type="list" allowBlank="1" showInputMessage="1" showErrorMessage="1" xr:uid="{2D971044-564F-0F4F-900B-02453DDCCE8F}">
          <x14:formula1>
            <xm:f>Servings!$Z$3:$Z$31</xm:f>
          </x14:formula1>
          <xm:sqref>G15 G136 G119 G110 G93 G84 G67 G58 G41 G32 G145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18D1-A600-2F41-8692-E784DE4819C3}">
  <dimension ref="A1:AT100"/>
  <sheetViews>
    <sheetView workbookViewId="0">
      <selection activeCell="C31" sqref="C31"/>
    </sheetView>
  </sheetViews>
  <sheetFormatPr defaultColWidth="11" defaultRowHeight="17.25"/>
  <cols>
    <col min="1" max="1" width="30" style="14" customWidth="1"/>
    <col min="2" max="2" width="11" style="6"/>
    <col min="3" max="3" width="25.6640625" style="15" customWidth="1"/>
    <col min="4" max="7" width="11" style="16"/>
    <col min="8" max="8" width="11" style="14"/>
    <col min="9" max="9" width="30.109375" style="14" customWidth="1"/>
    <col min="10" max="10" width="11" style="6"/>
    <col min="11" max="11" width="21" style="15" customWidth="1"/>
    <col min="12" max="12" width="11" style="16"/>
    <col min="13" max="13" width="16.6640625" style="16" customWidth="1"/>
    <col min="14" max="15" width="11" style="16"/>
    <col min="16" max="16" width="11" style="17"/>
    <col min="17" max="17" width="11" style="14"/>
    <col min="18" max="18" width="29.6640625" style="14" customWidth="1"/>
    <col min="19" max="19" width="11" style="6"/>
    <col min="20" max="20" width="33.44140625" style="15" customWidth="1"/>
    <col min="21" max="21" width="11" style="16"/>
    <col min="22" max="22" width="15.33203125" style="16" customWidth="1"/>
    <col min="23" max="24" width="11" style="16"/>
    <col min="25" max="25" width="11" style="14"/>
    <col min="26" max="26" width="35.6640625" style="14" customWidth="1"/>
    <col min="27" max="27" width="11" style="6"/>
    <col min="28" max="28" width="30.109375" style="15" customWidth="1"/>
    <col min="29" max="29" width="11" style="16"/>
    <col min="30" max="30" width="17.109375" style="16" customWidth="1"/>
    <col min="31" max="32" width="11" style="16"/>
    <col min="33" max="33" width="11" style="14"/>
    <col min="34" max="34" width="30.77734375" style="14" customWidth="1"/>
    <col min="35" max="35" width="12" style="14" customWidth="1"/>
    <col min="36" max="36" width="29" style="15" customWidth="1"/>
    <col min="37" max="40" width="15.44140625" style="23" customWidth="1"/>
    <col min="41" max="16384" width="11" style="14"/>
  </cols>
  <sheetData>
    <row r="1" spans="1:46" s="6" customFormat="1" ht="29.1" customHeight="1">
      <c r="A1" s="424" t="s">
        <v>45</v>
      </c>
      <c r="B1" s="424"/>
      <c r="C1" s="424"/>
      <c r="D1" s="424"/>
      <c r="E1" s="424"/>
      <c r="F1" s="424"/>
      <c r="G1" s="424"/>
      <c r="I1" s="424" t="s">
        <v>108</v>
      </c>
      <c r="J1" s="424"/>
      <c r="K1" s="424"/>
      <c r="L1" s="424"/>
      <c r="M1" s="424"/>
      <c r="N1" s="424"/>
      <c r="O1" s="424"/>
      <c r="P1" s="7"/>
      <c r="R1" s="424" t="s">
        <v>127</v>
      </c>
      <c r="S1" s="424"/>
      <c r="T1" s="424"/>
      <c r="U1" s="424"/>
      <c r="V1" s="424"/>
      <c r="W1" s="424"/>
      <c r="X1" s="424"/>
      <c r="Z1" s="424" t="s">
        <v>128</v>
      </c>
      <c r="AA1" s="424"/>
      <c r="AB1" s="424"/>
      <c r="AC1" s="424"/>
      <c r="AD1" s="424"/>
      <c r="AE1" s="424"/>
      <c r="AF1" s="424"/>
      <c r="AH1" s="424" t="s">
        <v>129</v>
      </c>
      <c r="AI1" s="424"/>
      <c r="AJ1" s="424"/>
      <c r="AK1" s="424"/>
      <c r="AL1" s="424"/>
      <c r="AM1" s="424"/>
      <c r="AN1" s="424"/>
    </row>
    <row r="2" spans="1:46" s="8" customFormat="1">
      <c r="A2" s="8" t="s">
        <v>130</v>
      </c>
      <c r="B2" s="9" t="s">
        <v>131</v>
      </c>
      <c r="C2" s="10" t="s">
        <v>132</v>
      </c>
      <c r="D2" s="11" t="s">
        <v>133</v>
      </c>
      <c r="E2" s="11" t="s">
        <v>134</v>
      </c>
      <c r="F2" s="11" t="s">
        <v>45</v>
      </c>
      <c r="G2" s="11" t="s">
        <v>108</v>
      </c>
      <c r="H2" s="12"/>
      <c r="I2" s="8" t="s">
        <v>130</v>
      </c>
      <c r="J2" s="9" t="s">
        <v>131</v>
      </c>
      <c r="K2" s="10" t="s">
        <v>132</v>
      </c>
      <c r="L2" s="11" t="s">
        <v>133</v>
      </c>
      <c r="M2" s="11" t="s">
        <v>134</v>
      </c>
      <c r="N2" s="11" t="s">
        <v>45</v>
      </c>
      <c r="O2" s="11" t="s">
        <v>108</v>
      </c>
      <c r="P2" s="13"/>
      <c r="Q2" s="12"/>
      <c r="R2" s="8" t="s">
        <v>130</v>
      </c>
      <c r="S2" s="9" t="s">
        <v>131</v>
      </c>
      <c r="T2" s="10" t="s">
        <v>132</v>
      </c>
      <c r="U2" s="11" t="s">
        <v>133</v>
      </c>
      <c r="V2" s="11" t="s">
        <v>134</v>
      </c>
      <c r="W2" s="11" t="s">
        <v>45</v>
      </c>
      <c r="X2" s="11" t="s">
        <v>108</v>
      </c>
      <c r="Y2" s="12"/>
      <c r="Z2" s="8" t="s">
        <v>130</v>
      </c>
      <c r="AA2" s="9" t="s">
        <v>131</v>
      </c>
      <c r="AB2" s="10" t="s">
        <v>132</v>
      </c>
      <c r="AC2" s="11" t="s">
        <v>133</v>
      </c>
      <c r="AD2" s="11" t="s">
        <v>134</v>
      </c>
      <c r="AE2" s="11" t="s">
        <v>45</v>
      </c>
      <c r="AF2" s="11" t="s">
        <v>108</v>
      </c>
      <c r="AG2" s="12"/>
      <c r="AH2" s="8" t="s">
        <v>130</v>
      </c>
      <c r="AI2" s="9" t="s">
        <v>131</v>
      </c>
      <c r="AJ2" s="10" t="s">
        <v>132</v>
      </c>
      <c r="AK2" s="11" t="s">
        <v>133</v>
      </c>
      <c r="AL2" s="11" t="s">
        <v>134</v>
      </c>
      <c r="AM2" s="11" t="s">
        <v>45</v>
      </c>
      <c r="AN2" s="11" t="s">
        <v>108</v>
      </c>
      <c r="AO2" s="12"/>
      <c r="AP2" s="12"/>
      <c r="AQ2" s="12"/>
      <c r="AR2" s="12"/>
      <c r="AS2" s="12"/>
      <c r="AT2" s="12"/>
    </row>
    <row r="3" spans="1:46">
      <c r="A3" s="14" t="s">
        <v>135</v>
      </c>
      <c r="B3" s="6">
        <v>50</v>
      </c>
      <c r="C3" s="15" t="s">
        <v>136</v>
      </c>
      <c r="D3" s="16">
        <v>95</v>
      </c>
      <c r="E3" s="16">
        <v>0</v>
      </c>
      <c r="F3" s="16">
        <v>12.6</v>
      </c>
      <c r="G3" s="16">
        <v>5</v>
      </c>
      <c r="I3" s="14" t="s">
        <v>137</v>
      </c>
      <c r="J3" s="6">
        <v>20</v>
      </c>
      <c r="K3" s="15" t="s">
        <v>138</v>
      </c>
      <c r="L3" s="16">
        <v>116</v>
      </c>
      <c r="M3" s="16">
        <v>1.4</v>
      </c>
      <c r="N3" s="16">
        <v>4.0999999999999996</v>
      </c>
      <c r="O3" s="16">
        <v>10.4</v>
      </c>
      <c r="R3" s="14" t="s">
        <v>139</v>
      </c>
      <c r="S3" s="6">
        <v>162</v>
      </c>
      <c r="T3" s="15" t="s">
        <v>140</v>
      </c>
      <c r="U3" s="16">
        <v>52</v>
      </c>
      <c r="V3" s="16">
        <v>12.5</v>
      </c>
      <c r="W3" s="16">
        <v>0.1</v>
      </c>
      <c r="X3" s="16">
        <v>0.16</v>
      </c>
      <c r="Z3" s="14" t="s">
        <v>141</v>
      </c>
      <c r="AA3" s="6">
        <v>50</v>
      </c>
      <c r="AB3" s="15" t="s">
        <v>142</v>
      </c>
      <c r="AC3" s="16">
        <v>8</v>
      </c>
      <c r="AD3" s="16">
        <v>1.1000000000000001</v>
      </c>
      <c r="AE3" s="16">
        <v>0.45</v>
      </c>
      <c r="AF3" s="16">
        <v>0.2</v>
      </c>
      <c r="AH3" s="14" t="s">
        <v>143</v>
      </c>
      <c r="AI3" s="6">
        <v>100</v>
      </c>
      <c r="AK3" s="16">
        <v>26</v>
      </c>
      <c r="AL3" s="16">
        <v>4</v>
      </c>
      <c r="AM3" s="16">
        <v>0.5</v>
      </c>
      <c r="AN3" s="16">
        <v>1</v>
      </c>
    </row>
    <row r="4" spans="1:46">
      <c r="A4" s="14" t="s">
        <v>145</v>
      </c>
      <c r="B4" s="6">
        <v>60</v>
      </c>
      <c r="C4" s="15" t="s">
        <v>146</v>
      </c>
      <c r="D4" s="16">
        <v>94</v>
      </c>
      <c r="E4" s="16">
        <v>0.54</v>
      </c>
      <c r="F4" s="16">
        <v>15.5</v>
      </c>
      <c r="G4" s="16">
        <v>3.3</v>
      </c>
      <c r="I4" s="14" t="s">
        <v>147</v>
      </c>
      <c r="J4" s="6">
        <v>10</v>
      </c>
      <c r="K4" s="15" t="s">
        <v>140</v>
      </c>
      <c r="L4" s="16">
        <v>58</v>
      </c>
      <c r="M4" s="16">
        <v>0.7</v>
      </c>
      <c r="N4" s="16">
        <v>2.1</v>
      </c>
      <c r="O4" s="16">
        <v>5.3</v>
      </c>
      <c r="R4" s="14" t="s">
        <v>148</v>
      </c>
      <c r="S4" s="6">
        <v>174</v>
      </c>
      <c r="T4" s="15" t="s">
        <v>149</v>
      </c>
      <c r="U4" s="16">
        <v>92</v>
      </c>
      <c r="V4" s="16">
        <v>20</v>
      </c>
      <c r="W4" s="16">
        <v>1</v>
      </c>
      <c r="X4" s="16">
        <v>0.87</v>
      </c>
      <c r="Z4" s="14" t="s">
        <v>150</v>
      </c>
      <c r="AA4" s="6">
        <v>65</v>
      </c>
      <c r="AB4" s="15" t="s">
        <v>140</v>
      </c>
      <c r="AC4" s="16">
        <v>31.5</v>
      </c>
      <c r="AD4" s="16">
        <v>3.4</v>
      </c>
      <c r="AE4" s="16">
        <v>3.3</v>
      </c>
      <c r="AF4" s="16">
        <v>0.52</v>
      </c>
      <c r="AH4" s="14" t="s">
        <v>151</v>
      </c>
      <c r="AI4" s="6">
        <v>100</v>
      </c>
      <c r="AK4" s="16">
        <v>24</v>
      </c>
      <c r="AL4" s="16">
        <v>4</v>
      </c>
      <c r="AM4" s="16">
        <v>0.5</v>
      </c>
      <c r="AN4" s="16">
        <v>1</v>
      </c>
    </row>
    <row r="5" spans="1:46">
      <c r="A5" s="14" t="s">
        <v>152</v>
      </c>
      <c r="B5" s="6">
        <v>88</v>
      </c>
      <c r="C5" s="15" t="s">
        <v>153</v>
      </c>
      <c r="D5" s="16">
        <v>189</v>
      </c>
      <c r="E5" s="16">
        <v>0</v>
      </c>
      <c r="F5" s="16">
        <v>14.5</v>
      </c>
      <c r="G5" s="16">
        <v>14.5</v>
      </c>
      <c r="I5" s="14" t="s">
        <v>154</v>
      </c>
      <c r="J5" s="6">
        <v>140</v>
      </c>
      <c r="K5" s="15" t="s">
        <v>155</v>
      </c>
      <c r="L5" s="16">
        <v>268</v>
      </c>
      <c r="M5" s="16">
        <v>2.7</v>
      </c>
      <c r="N5" s="16">
        <v>2.2000000000000002</v>
      </c>
      <c r="O5" s="16">
        <v>27.6</v>
      </c>
      <c r="R5" s="14" t="s">
        <v>156</v>
      </c>
      <c r="S5" s="6">
        <v>144</v>
      </c>
      <c r="T5" s="15" t="s">
        <v>157</v>
      </c>
      <c r="U5" s="16">
        <v>115</v>
      </c>
      <c r="V5" s="16">
        <v>20</v>
      </c>
      <c r="W5" s="16">
        <v>7.2</v>
      </c>
      <c r="X5" s="16">
        <v>0.72</v>
      </c>
      <c r="Z5" s="14" t="s">
        <v>158</v>
      </c>
      <c r="AA5" s="6">
        <v>70</v>
      </c>
      <c r="AB5" s="15" t="s">
        <v>159</v>
      </c>
      <c r="AC5" s="16">
        <v>16.8</v>
      </c>
      <c r="AD5" s="16">
        <v>2.1</v>
      </c>
      <c r="AE5" s="16">
        <v>1.5</v>
      </c>
      <c r="AF5" s="16">
        <v>0.28000000000000003</v>
      </c>
      <c r="AH5" s="14" t="s">
        <v>139</v>
      </c>
      <c r="AI5" s="6">
        <v>162</v>
      </c>
      <c r="AJ5" s="15" t="s">
        <v>140</v>
      </c>
      <c r="AK5" s="16">
        <v>52</v>
      </c>
      <c r="AL5" s="16">
        <v>12.5</v>
      </c>
      <c r="AM5" s="16">
        <v>0.1</v>
      </c>
      <c r="AN5" s="24">
        <v>0.16</v>
      </c>
    </row>
    <row r="6" spans="1:46">
      <c r="A6" s="14" t="s">
        <v>160</v>
      </c>
      <c r="B6" s="6">
        <v>140</v>
      </c>
      <c r="C6" s="15" t="s">
        <v>149</v>
      </c>
      <c r="D6" s="16">
        <v>314</v>
      </c>
      <c r="E6" s="16">
        <v>0</v>
      </c>
      <c r="F6" s="16">
        <v>27.6</v>
      </c>
      <c r="G6" s="16">
        <v>22.7</v>
      </c>
      <c r="I6" s="14" t="s">
        <v>161</v>
      </c>
      <c r="J6" s="6">
        <v>14</v>
      </c>
      <c r="K6" s="15" t="s">
        <v>138</v>
      </c>
      <c r="L6" s="16">
        <v>126</v>
      </c>
      <c r="M6" s="16">
        <v>0</v>
      </c>
      <c r="N6" s="16">
        <v>0</v>
      </c>
      <c r="O6" s="16">
        <v>14</v>
      </c>
      <c r="R6" s="14" t="s">
        <v>162</v>
      </c>
      <c r="S6" s="6">
        <v>60</v>
      </c>
      <c r="T6" s="15" t="s">
        <v>163</v>
      </c>
      <c r="U6" s="16">
        <v>201</v>
      </c>
      <c r="V6" s="16">
        <v>30.8</v>
      </c>
      <c r="W6" s="16">
        <v>2.6</v>
      </c>
      <c r="X6" s="16">
        <v>7.4</v>
      </c>
      <c r="Z6" s="14" t="s">
        <v>164</v>
      </c>
      <c r="AA6" s="6">
        <v>104</v>
      </c>
      <c r="AB6" s="15" t="s">
        <v>165</v>
      </c>
      <c r="AC6" s="16">
        <v>32.6</v>
      </c>
      <c r="AD6" s="16">
        <v>4</v>
      </c>
      <c r="AE6" s="16">
        <v>3</v>
      </c>
      <c r="AF6" s="16">
        <v>0.52</v>
      </c>
      <c r="AH6" s="14" t="s">
        <v>166</v>
      </c>
      <c r="AI6" s="6">
        <v>15</v>
      </c>
      <c r="AJ6" s="15" t="s">
        <v>167</v>
      </c>
      <c r="AK6" s="16">
        <v>20.100000000000001</v>
      </c>
      <c r="AL6" s="16">
        <v>4.8</v>
      </c>
      <c r="AM6" s="16">
        <v>0.08</v>
      </c>
      <c r="AN6" s="16">
        <v>0.08</v>
      </c>
    </row>
    <row r="7" spans="1:46">
      <c r="A7" s="14" t="s">
        <v>168</v>
      </c>
      <c r="B7" s="6">
        <v>140</v>
      </c>
      <c r="C7" s="15" t="s">
        <v>149</v>
      </c>
      <c r="D7" s="16">
        <v>176</v>
      </c>
      <c r="E7" s="16">
        <v>0</v>
      </c>
      <c r="F7" s="16">
        <v>30.7</v>
      </c>
      <c r="G7" s="16">
        <v>5.9</v>
      </c>
      <c r="I7" s="14" t="s">
        <v>169</v>
      </c>
      <c r="J7" s="6">
        <v>14.8</v>
      </c>
      <c r="K7" s="15" t="s">
        <v>138</v>
      </c>
      <c r="L7" s="16">
        <v>110</v>
      </c>
      <c r="M7" s="16">
        <v>0.09</v>
      </c>
      <c r="N7" s="16">
        <v>0.09</v>
      </c>
      <c r="O7" s="16">
        <v>12.2</v>
      </c>
      <c r="R7" s="14" t="s">
        <v>170</v>
      </c>
      <c r="S7" s="6">
        <v>158</v>
      </c>
      <c r="T7" s="15" t="s">
        <v>171</v>
      </c>
      <c r="U7" s="16">
        <v>85</v>
      </c>
      <c r="V7" s="16">
        <v>19.899999999999999</v>
      </c>
      <c r="W7" s="16">
        <v>1.3</v>
      </c>
      <c r="X7" s="16">
        <v>0</v>
      </c>
      <c r="Z7" s="14" t="s">
        <v>172</v>
      </c>
      <c r="AA7" s="6">
        <v>37</v>
      </c>
      <c r="AB7" s="15" t="s">
        <v>140</v>
      </c>
      <c r="AC7" s="16">
        <v>10.4</v>
      </c>
      <c r="AD7" s="16">
        <v>2</v>
      </c>
      <c r="AE7" s="16">
        <v>0.44</v>
      </c>
      <c r="AF7" s="16">
        <v>7.0000000000000007E-2</v>
      </c>
      <c r="AH7" s="14" t="s">
        <v>173</v>
      </c>
      <c r="AI7" s="6">
        <v>11.4</v>
      </c>
      <c r="AJ7" s="15" t="s">
        <v>138</v>
      </c>
      <c r="AK7" s="16">
        <v>7.9</v>
      </c>
      <c r="AL7" s="16">
        <v>1.9</v>
      </c>
      <c r="AM7" s="16">
        <v>0.06</v>
      </c>
      <c r="AN7" s="16">
        <v>0</v>
      </c>
    </row>
    <row r="8" spans="1:46">
      <c r="A8" s="14" t="s">
        <v>174</v>
      </c>
      <c r="B8" s="6">
        <v>160</v>
      </c>
      <c r="C8" s="15" t="s">
        <v>149</v>
      </c>
      <c r="D8" s="16">
        <v>215</v>
      </c>
      <c r="E8" s="16">
        <v>0</v>
      </c>
      <c r="F8" s="16">
        <v>37.6</v>
      </c>
      <c r="G8" s="16">
        <v>7.2</v>
      </c>
      <c r="I8" s="14" t="s">
        <v>175</v>
      </c>
      <c r="J8" s="6">
        <v>18</v>
      </c>
      <c r="K8" s="15" t="s">
        <v>176</v>
      </c>
      <c r="L8" s="16">
        <v>103</v>
      </c>
      <c r="M8" s="16">
        <v>3</v>
      </c>
      <c r="N8" s="16">
        <v>3.2</v>
      </c>
      <c r="O8" s="16">
        <v>8.6999999999999993</v>
      </c>
      <c r="R8" s="14" t="s">
        <v>177</v>
      </c>
      <c r="S8" s="6">
        <v>171</v>
      </c>
      <c r="T8" s="15" t="s">
        <v>165</v>
      </c>
      <c r="U8" s="16">
        <v>195</v>
      </c>
      <c r="V8" s="16">
        <v>31.1</v>
      </c>
      <c r="W8" s="16">
        <v>15</v>
      </c>
      <c r="X8" s="16">
        <v>1.2</v>
      </c>
      <c r="Z8" s="14" t="s">
        <v>178</v>
      </c>
      <c r="AA8" s="6">
        <v>78</v>
      </c>
      <c r="AB8" s="15" t="s">
        <v>179</v>
      </c>
      <c r="AC8" s="16">
        <v>33.200000000000003</v>
      </c>
      <c r="AD8" s="16">
        <v>3.1</v>
      </c>
      <c r="AE8" s="16">
        <v>2.7</v>
      </c>
      <c r="AF8" s="16">
        <v>1.1000000000000001</v>
      </c>
      <c r="AH8" s="14" t="s">
        <v>180</v>
      </c>
      <c r="AI8" s="6">
        <v>21</v>
      </c>
      <c r="AJ8" s="15" t="s">
        <v>138</v>
      </c>
      <c r="AK8" s="16">
        <v>30.8</v>
      </c>
      <c r="AL8" s="16">
        <v>7.5</v>
      </c>
      <c r="AM8" s="16">
        <v>0.21</v>
      </c>
      <c r="AN8" s="16">
        <v>0.02</v>
      </c>
    </row>
    <row r="9" spans="1:46">
      <c r="A9" s="14" t="s">
        <v>181</v>
      </c>
      <c r="B9" s="6">
        <v>30</v>
      </c>
      <c r="C9" s="15" t="s">
        <v>182</v>
      </c>
      <c r="D9" s="16">
        <v>41</v>
      </c>
      <c r="E9" s="16">
        <v>0.18</v>
      </c>
      <c r="F9" s="16">
        <v>7.6</v>
      </c>
      <c r="G9" s="16">
        <v>1.1000000000000001</v>
      </c>
      <c r="I9" s="14" t="s">
        <v>183</v>
      </c>
      <c r="J9" s="6">
        <v>20</v>
      </c>
      <c r="K9" s="15" t="s">
        <v>184</v>
      </c>
      <c r="L9" s="16">
        <v>43</v>
      </c>
      <c r="M9" s="16">
        <v>0.04</v>
      </c>
      <c r="N9" s="16">
        <v>5.2</v>
      </c>
      <c r="O9" s="16">
        <v>2.4</v>
      </c>
      <c r="R9" s="14" t="s">
        <v>185</v>
      </c>
      <c r="S9" s="6">
        <v>150</v>
      </c>
      <c r="T9" s="15" t="s">
        <v>165</v>
      </c>
      <c r="U9" s="16">
        <v>134</v>
      </c>
      <c r="V9" s="16">
        <v>18.899999999999999</v>
      </c>
      <c r="W9" s="16">
        <v>12.3</v>
      </c>
      <c r="X9" s="16">
        <v>1.1000000000000001</v>
      </c>
      <c r="Z9" s="14" t="s">
        <v>186</v>
      </c>
      <c r="AA9" s="6">
        <v>30</v>
      </c>
      <c r="AB9" s="15" t="s">
        <v>140</v>
      </c>
      <c r="AC9" s="16">
        <v>8</v>
      </c>
      <c r="AD9" s="16">
        <v>1.3</v>
      </c>
      <c r="AE9" s="16">
        <v>0.54</v>
      </c>
      <c r="AF9" s="16">
        <v>0.06</v>
      </c>
      <c r="AH9" s="14" t="s">
        <v>187</v>
      </c>
      <c r="AI9" s="6">
        <v>24</v>
      </c>
      <c r="AJ9" s="15" t="s">
        <v>138</v>
      </c>
      <c r="AK9" s="16">
        <v>27.5</v>
      </c>
      <c r="AL9" s="16">
        <v>6.5</v>
      </c>
      <c r="AM9" s="16">
        <v>0.28999999999999998</v>
      </c>
      <c r="AN9" s="16">
        <v>0.02</v>
      </c>
    </row>
    <row r="10" spans="1:46">
      <c r="A10" s="14" t="s">
        <v>188</v>
      </c>
      <c r="B10" s="6">
        <v>92</v>
      </c>
      <c r="C10" s="15" t="s">
        <v>140</v>
      </c>
      <c r="D10" s="16">
        <v>112</v>
      </c>
      <c r="E10" s="16">
        <v>0</v>
      </c>
      <c r="F10" s="16">
        <v>20.8</v>
      </c>
      <c r="G10" s="16">
        <v>3.2</v>
      </c>
      <c r="I10" s="14" t="s">
        <v>189</v>
      </c>
      <c r="J10" s="6">
        <v>20</v>
      </c>
      <c r="K10" s="15" t="s">
        <v>184</v>
      </c>
      <c r="L10" s="16">
        <v>61</v>
      </c>
      <c r="M10" s="16">
        <v>0</v>
      </c>
      <c r="N10" s="16">
        <v>4.4000000000000004</v>
      </c>
      <c r="O10" s="16">
        <v>4.8</v>
      </c>
      <c r="R10" s="14" t="s">
        <v>190</v>
      </c>
      <c r="S10" s="6">
        <v>24</v>
      </c>
      <c r="T10" s="15" t="s">
        <v>140</v>
      </c>
      <c r="U10" s="16">
        <v>10</v>
      </c>
      <c r="V10" s="16">
        <v>2.2000000000000002</v>
      </c>
      <c r="W10" s="16">
        <v>0.22</v>
      </c>
      <c r="X10" s="16">
        <v>0.05</v>
      </c>
      <c r="Z10" s="14" t="s">
        <v>191</v>
      </c>
      <c r="AA10" s="6">
        <v>67</v>
      </c>
      <c r="AB10" s="15" t="s">
        <v>192</v>
      </c>
      <c r="AC10" s="16">
        <v>23.9</v>
      </c>
      <c r="AD10" s="16">
        <v>5</v>
      </c>
      <c r="AE10" s="16">
        <v>0.34</v>
      </c>
      <c r="AF10" s="16">
        <v>0.27</v>
      </c>
      <c r="AH10" s="14" t="s">
        <v>193</v>
      </c>
      <c r="AI10" s="6">
        <v>39</v>
      </c>
      <c r="AJ10" s="15" t="s">
        <v>140</v>
      </c>
      <c r="AK10" s="16">
        <v>210</v>
      </c>
      <c r="AL10" s="16">
        <v>22.3</v>
      </c>
      <c r="AM10" s="16">
        <v>2.8</v>
      </c>
      <c r="AN10" s="16">
        <v>12.1</v>
      </c>
    </row>
    <row r="11" spans="1:46">
      <c r="A11" s="14" t="s">
        <v>194</v>
      </c>
      <c r="B11" s="6">
        <v>90</v>
      </c>
      <c r="C11" s="15" t="s">
        <v>195</v>
      </c>
      <c r="D11" s="16">
        <v>105</v>
      </c>
      <c r="E11" s="16">
        <v>0</v>
      </c>
      <c r="F11" s="16">
        <v>20.7</v>
      </c>
      <c r="G11" s="16">
        <v>2.4</v>
      </c>
      <c r="I11" s="14" t="s">
        <v>196</v>
      </c>
      <c r="J11" s="6">
        <v>40</v>
      </c>
      <c r="K11" s="15" t="s">
        <v>140</v>
      </c>
      <c r="L11" s="16">
        <v>166</v>
      </c>
      <c r="M11" s="16">
        <v>0.04</v>
      </c>
      <c r="N11" s="16">
        <v>10.199999999999999</v>
      </c>
      <c r="O11" s="16">
        <v>14</v>
      </c>
      <c r="R11" s="14" t="s">
        <v>197</v>
      </c>
      <c r="S11" s="6">
        <v>37</v>
      </c>
      <c r="T11" s="15" t="s">
        <v>198</v>
      </c>
      <c r="U11" s="16">
        <v>75</v>
      </c>
      <c r="V11" s="16">
        <v>14.2</v>
      </c>
      <c r="W11" s="16">
        <v>2.9</v>
      </c>
      <c r="X11" s="16">
        <v>0.74</v>
      </c>
      <c r="Z11" s="14" t="s">
        <v>199</v>
      </c>
      <c r="AA11" s="6">
        <v>114</v>
      </c>
      <c r="AB11" s="15" t="s">
        <v>165</v>
      </c>
      <c r="AC11" s="16">
        <v>35.6</v>
      </c>
      <c r="AD11" s="16">
        <v>5</v>
      </c>
      <c r="AE11" s="16">
        <v>2.9</v>
      </c>
      <c r="AF11" s="16">
        <v>0.46</v>
      </c>
      <c r="AH11" s="14" t="s">
        <v>200</v>
      </c>
      <c r="AI11" s="6">
        <v>30</v>
      </c>
      <c r="AK11" s="16">
        <v>163</v>
      </c>
      <c r="AL11" s="16">
        <v>9.6</v>
      </c>
      <c r="AM11" s="16">
        <v>2.7</v>
      </c>
      <c r="AN11" s="16">
        <v>12.6</v>
      </c>
    </row>
    <row r="12" spans="1:46">
      <c r="A12" s="14" t="s">
        <v>201</v>
      </c>
      <c r="B12" s="6">
        <v>90</v>
      </c>
      <c r="C12" s="15" t="s">
        <v>195</v>
      </c>
      <c r="D12" s="16">
        <v>181</v>
      </c>
      <c r="E12" s="16">
        <v>0</v>
      </c>
      <c r="F12" s="16">
        <v>32.6</v>
      </c>
      <c r="G12" s="16">
        <v>5.7</v>
      </c>
      <c r="I12" s="14" t="s">
        <v>202</v>
      </c>
      <c r="J12" s="6">
        <v>40</v>
      </c>
      <c r="K12" s="15" t="s">
        <v>140</v>
      </c>
      <c r="L12" s="16">
        <v>125</v>
      </c>
      <c r="M12" s="16">
        <v>0.28000000000000003</v>
      </c>
      <c r="N12" s="16">
        <v>11.2</v>
      </c>
      <c r="O12" s="16">
        <v>8.8000000000000007</v>
      </c>
      <c r="R12" s="14" t="s">
        <v>203</v>
      </c>
      <c r="S12" s="6">
        <v>31</v>
      </c>
      <c r="T12" s="15" t="s">
        <v>204</v>
      </c>
      <c r="U12" s="16">
        <v>72</v>
      </c>
      <c r="V12" s="16">
        <v>13.8</v>
      </c>
      <c r="W12" s="16">
        <v>2.7</v>
      </c>
      <c r="X12" s="16">
        <v>0.65</v>
      </c>
      <c r="Z12" s="14" t="s">
        <v>205</v>
      </c>
      <c r="AA12" s="6">
        <v>90</v>
      </c>
      <c r="AB12" s="15" t="s">
        <v>206</v>
      </c>
      <c r="AC12" s="16">
        <v>6.7</v>
      </c>
      <c r="AD12" s="16">
        <v>0.81</v>
      </c>
      <c r="AE12" s="16">
        <v>0.45</v>
      </c>
      <c r="AF12" s="16">
        <v>0.18</v>
      </c>
      <c r="AH12" s="14" t="s">
        <v>207</v>
      </c>
      <c r="AI12" s="6">
        <v>25</v>
      </c>
      <c r="AJ12" s="15" t="s">
        <v>140</v>
      </c>
      <c r="AK12" s="16">
        <v>39.9</v>
      </c>
      <c r="AL12" s="16">
        <v>9.8000000000000007</v>
      </c>
      <c r="AM12" s="16">
        <v>0.15</v>
      </c>
      <c r="AN12" s="16">
        <v>0</v>
      </c>
    </row>
    <row r="13" spans="1:46">
      <c r="A13" s="14" t="s">
        <v>208</v>
      </c>
      <c r="B13" s="6">
        <v>25</v>
      </c>
      <c r="C13" s="15" t="s">
        <v>209</v>
      </c>
      <c r="D13" s="16">
        <v>85</v>
      </c>
      <c r="E13" s="16">
        <v>1.6</v>
      </c>
      <c r="F13" s="16">
        <v>14.5</v>
      </c>
      <c r="G13" s="16">
        <v>2.2999999999999998</v>
      </c>
      <c r="I13" s="14" t="s">
        <v>210</v>
      </c>
      <c r="J13" s="6">
        <v>100</v>
      </c>
      <c r="K13" s="15" t="s">
        <v>211</v>
      </c>
      <c r="L13" s="16">
        <v>104</v>
      </c>
      <c r="M13" s="16">
        <v>3</v>
      </c>
      <c r="N13" s="16">
        <v>9.4</v>
      </c>
      <c r="O13" s="16">
        <v>6</v>
      </c>
      <c r="R13" s="14" t="s">
        <v>212</v>
      </c>
      <c r="S13" s="6">
        <v>140</v>
      </c>
      <c r="T13" s="15" t="s">
        <v>213</v>
      </c>
      <c r="U13" s="16">
        <v>52</v>
      </c>
      <c r="V13" s="16">
        <v>11.1</v>
      </c>
      <c r="W13" s="16">
        <v>1.5</v>
      </c>
      <c r="X13" s="16">
        <v>0.14000000000000001</v>
      </c>
      <c r="Z13" s="14" t="s">
        <v>214</v>
      </c>
      <c r="AA13" s="6">
        <v>36</v>
      </c>
      <c r="AB13" s="15" t="s">
        <v>165</v>
      </c>
      <c r="AC13" s="16">
        <v>7.1</v>
      </c>
      <c r="AD13" s="16">
        <v>0.97</v>
      </c>
      <c r="AE13" s="16">
        <v>0.65</v>
      </c>
      <c r="AF13" s="16">
        <v>7.0000000000000007E-2</v>
      </c>
      <c r="AH13" s="14" t="s">
        <v>215</v>
      </c>
      <c r="AI13" s="6">
        <v>5</v>
      </c>
      <c r="AJ13" s="15" t="s">
        <v>216</v>
      </c>
      <c r="AK13" s="16">
        <v>15.6</v>
      </c>
      <c r="AL13" s="16">
        <v>0.53</v>
      </c>
      <c r="AM13" s="16">
        <v>0.93</v>
      </c>
      <c r="AN13" s="16">
        <v>1.1000000000000001</v>
      </c>
    </row>
    <row r="14" spans="1:46">
      <c r="A14" s="14" t="s">
        <v>217</v>
      </c>
      <c r="B14" s="6">
        <v>78</v>
      </c>
      <c r="C14" s="15" t="s">
        <v>140</v>
      </c>
      <c r="D14" s="16">
        <v>179</v>
      </c>
      <c r="E14" s="16">
        <v>6.2</v>
      </c>
      <c r="F14" s="16">
        <v>14.3</v>
      </c>
      <c r="G14" s="16">
        <v>10.8</v>
      </c>
      <c r="I14" s="14" t="s">
        <v>218</v>
      </c>
      <c r="J14" s="6">
        <v>10</v>
      </c>
      <c r="K14" s="15" t="s">
        <v>138</v>
      </c>
      <c r="L14" s="16">
        <v>38.799999999999997</v>
      </c>
      <c r="M14" s="16">
        <v>0.78</v>
      </c>
      <c r="N14" s="16">
        <v>1.8</v>
      </c>
      <c r="O14" s="16">
        <v>3.1</v>
      </c>
      <c r="R14" s="14" t="s">
        <v>191</v>
      </c>
      <c r="S14" s="6">
        <v>67</v>
      </c>
      <c r="T14" s="15" t="s">
        <v>192</v>
      </c>
      <c r="U14" s="16">
        <v>23.9</v>
      </c>
      <c r="V14" s="16">
        <v>5</v>
      </c>
      <c r="W14" s="16">
        <v>0.34</v>
      </c>
      <c r="X14" s="16">
        <v>0.27</v>
      </c>
      <c r="Z14" s="14" t="s">
        <v>219</v>
      </c>
      <c r="AA14" s="6">
        <v>80</v>
      </c>
      <c r="AB14" s="15" t="s">
        <v>220</v>
      </c>
      <c r="AC14" s="16">
        <v>14.4</v>
      </c>
      <c r="AD14" s="16">
        <v>1.4</v>
      </c>
      <c r="AE14" s="16">
        <v>1.4</v>
      </c>
      <c r="AF14" s="16">
        <v>0.32</v>
      </c>
      <c r="AH14" s="14" t="s">
        <v>221</v>
      </c>
      <c r="AI14" s="6">
        <v>24</v>
      </c>
      <c r="AJ14" s="15" t="s">
        <v>138</v>
      </c>
      <c r="AK14" s="16">
        <v>45</v>
      </c>
      <c r="AL14" s="16">
        <v>3.2</v>
      </c>
      <c r="AM14" s="16">
        <v>1.6</v>
      </c>
      <c r="AN14" s="16">
        <v>2.9</v>
      </c>
    </row>
    <row r="15" spans="1:46">
      <c r="A15" s="14" t="s">
        <v>183</v>
      </c>
      <c r="B15" s="6">
        <v>20</v>
      </c>
      <c r="C15" s="15" t="s">
        <v>184</v>
      </c>
      <c r="D15" s="16">
        <v>43</v>
      </c>
      <c r="E15" s="16">
        <v>0.04</v>
      </c>
      <c r="F15" s="16">
        <v>5.2</v>
      </c>
      <c r="G15" s="16">
        <v>2.4</v>
      </c>
      <c r="I15" s="14" t="s">
        <v>222</v>
      </c>
      <c r="J15" s="6">
        <v>250</v>
      </c>
      <c r="K15" s="15" t="s">
        <v>165</v>
      </c>
      <c r="L15" s="16">
        <v>450</v>
      </c>
      <c r="M15" s="16">
        <v>8.5</v>
      </c>
      <c r="N15" s="16">
        <v>2.8</v>
      </c>
      <c r="O15" s="16">
        <v>45</v>
      </c>
      <c r="R15" s="14" t="s">
        <v>223</v>
      </c>
      <c r="S15" s="6">
        <v>15.4</v>
      </c>
      <c r="T15" s="15" t="s">
        <v>209</v>
      </c>
      <c r="U15" s="16">
        <v>52</v>
      </c>
      <c r="V15" s="16">
        <v>11.5</v>
      </c>
      <c r="W15" s="16">
        <v>1.2</v>
      </c>
      <c r="X15" s="16">
        <v>0.17</v>
      </c>
      <c r="Z15" s="14" t="s">
        <v>224</v>
      </c>
      <c r="AA15" s="6">
        <v>55</v>
      </c>
      <c r="AB15" s="15" t="s">
        <v>225</v>
      </c>
      <c r="AC15" s="16">
        <v>7.8</v>
      </c>
      <c r="AD15" s="16">
        <v>0.66</v>
      </c>
      <c r="AE15" s="16">
        <v>0.55000000000000004</v>
      </c>
      <c r="AF15" s="16">
        <v>0.33</v>
      </c>
      <c r="AH15" s="14" t="s">
        <v>226</v>
      </c>
      <c r="AI15" s="6">
        <v>21</v>
      </c>
      <c r="AJ15" s="15" t="s">
        <v>138</v>
      </c>
      <c r="AK15" s="16">
        <v>65</v>
      </c>
      <c r="AL15" s="16">
        <v>16</v>
      </c>
      <c r="AM15" s="16">
        <v>0.08</v>
      </c>
      <c r="AN15" s="16">
        <v>0</v>
      </c>
    </row>
    <row r="16" spans="1:46">
      <c r="A16" s="14" t="s">
        <v>189</v>
      </c>
      <c r="B16" s="6">
        <v>20</v>
      </c>
      <c r="C16" s="15" t="s">
        <v>184</v>
      </c>
      <c r="D16" s="16">
        <v>61</v>
      </c>
      <c r="E16" s="16">
        <v>0</v>
      </c>
      <c r="F16" s="16">
        <v>4.4000000000000004</v>
      </c>
      <c r="G16" s="16">
        <v>4.8</v>
      </c>
      <c r="I16" s="14" t="s">
        <v>227</v>
      </c>
      <c r="J16" s="6">
        <v>250</v>
      </c>
      <c r="K16" s="15" t="s">
        <v>165</v>
      </c>
      <c r="L16" s="16">
        <v>180</v>
      </c>
      <c r="M16" s="16">
        <v>3.8</v>
      </c>
      <c r="N16" s="16">
        <v>1.8</v>
      </c>
      <c r="O16" s="16">
        <v>17.5</v>
      </c>
      <c r="R16" s="14" t="s">
        <v>228</v>
      </c>
      <c r="S16" s="6">
        <v>83</v>
      </c>
      <c r="T16" s="15" t="s">
        <v>140</v>
      </c>
      <c r="U16" s="16">
        <v>272</v>
      </c>
      <c r="V16" s="16">
        <v>55</v>
      </c>
      <c r="W16" s="16">
        <v>9.6</v>
      </c>
      <c r="X16" s="16">
        <v>1.7</v>
      </c>
      <c r="Z16" s="14" t="s">
        <v>229</v>
      </c>
      <c r="AA16" s="6">
        <v>18</v>
      </c>
      <c r="AB16" s="15" t="s">
        <v>230</v>
      </c>
      <c r="AC16" s="16">
        <v>6</v>
      </c>
      <c r="AD16" s="16">
        <v>0.25</v>
      </c>
      <c r="AE16" s="16">
        <v>0.61</v>
      </c>
      <c r="AF16" s="16">
        <v>0.28999999999999998</v>
      </c>
      <c r="AH16" s="14" t="s">
        <v>231</v>
      </c>
      <c r="AI16" s="6">
        <v>12</v>
      </c>
      <c r="AJ16" s="15" t="s">
        <v>140</v>
      </c>
      <c r="AK16" s="16">
        <v>18.600000000000001</v>
      </c>
      <c r="AL16" s="16">
        <v>2.1</v>
      </c>
      <c r="AM16" s="16">
        <v>0.3</v>
      </c>
      <c r="AN16" s="16">
        <v>1</v>
      </c>
    </row>
    <row r="17" spans="1:40">
      <c r="A17" s="14" t="s">
        <v>196</v>
      </c>
      <c r="B17" s="6">
        <v>40</v>
      </c>
      <c r="C17" s="15" t="s">
        <v>140</v>
      </c>
      <c r="D17" s="16">
        <v>166</v>
      </c>
      <c r="E17" s="16">
        <v>0.04</v>
      </c>
      <c r="F17" s="16">
        <v>10.199999999999999</v>
      </c>
      <c r="G17" s="16">
        <v>14</v>
      </c>
      <c r="I17" s="14" t="s">
        <v>232</v>
      </c>
      <c r="J17" s="6">
        <v>9</v>
      </c>
      <c r="K17" s="15" t="s">
        <v>233</v>
      </c>
      <c r="L17" s="16">
        <v>81</v>
      </c>
      <c r="M17" s="16">
        <v>0</v>
      </c>
      <c r="N17" s="16">
        <v>0</v>
      </c>
      <c r="O17" s="16">
        <v>9</v>
      </c>
      <c r="R17" s="14" t="s">
        <v>234</v>
      </c>
      <c r="S17" s="6">
        <v>21</v>
      </c>
      <c r="T17" s="15" t="s">
        <v>235</v>
      </c>
      <c r="U17" s="16">
        <v>92</v>
      </c>
      <c r="V17" s="16">
        <v>13.3</v>
      </c>
      <c r="W17" s="16">
        <v>1.9</v>
      </c>
      <c r="X17" s="16">
        <v>3.4</v>
      </c>
      <c r="Z17" s="14" t="s">
        <v>236</v>
      </c>
      <c r="AA17" s="6">
        <v>89</v>
      </c>
      <c r="AB17" s="15" t="s">
        <v>237</v>
      </c>
      <c r="AC17" s="16">
        <v>20</v>
      </c>
      <c r="AD17" s="16">
        <v>2.6</v>
      </c>
      <c r="AE17" s="16">
        <v>1.4</v>
      </c>
      <c r="AF17" s="16">
        <v>0.45</v>
      </c>
      <c r="AH17" s="14" t="s">
        <v>238</v>
      </c>
      <c r="AI17" s="6">
        <v>30</v>
      </c>
      <c r="AJ17" s="15" t="s">
        <v>138</v>
      </c>
      <c r="AK17" s="16">
        <v>89</v>
      </c>
      <c r="AL17" s="16">
        <v>2.4</v>
      </c>
      <c r="AM17" s="16">
        <v>2.2999999999999998</v>
      </c>
      <c r="AN17" s="16">
        <v>7.8</v>
      </c>
    </row>
    <row r="18" spans="1:40">
      <c r="A18" s="14" t="s">
        <v>202</v>
      </c>
      <c r="B18" s="6">
        <v>40</v>
      </c>
      <c r="C18" s="15" t="s">
        <v>140</v>
      </c>
      <c r="D18" s="16">
        <v>125</v>
      </c>
      <c r="E18" s="16">
        <v>0.28000000000000003</v>
      </c>
      <c r="F18" s="16">
        <v>11.2</v>
      </c>
      <c r="G18" s="16">
        <v>8.8000000000000007</v>
      </c>
      <c r="I18" s="18" t="s">
        <v>239</v>
      </c>
      <c r="J18" s="19">
        <v>114</v>
      </c>
      <c r="K18" s="20" t="s">
        <v>240</v>
      </c>
      <c r="L18" s="21">
        <v>149</v>
      </c>
      <c r="M18" s="21">
        <v>0</v>
      </c>
      <c r="N18" s="21">
        <v>14.4</v>
      </c>
      <c r="O18" s="21">
        <v>10.3</v>
      </c>
      <c r="R18" s="14" t="s">
        <v>241</v>
      </c>
      <c r="S18" s="6">
        <v>50</v>
      </c>
      <c r="T18" s="15" t="s">
        <v>242</v>
      </c>
      <c r="U18" s="16">
        <v>103</v>
      </c>
      <c r="V18" s="16">
        <v>21</v>
      </c>
      <c r="W18" s="16">
        <v>3.4</v>
      </c>
      <c r="X18" s="16">
        <v>0.6</v>
      </c>
      <c r="Z18" s="14" t="s">
        <v>243</v>
      </c>
      <c r="AA18" s="6">
        <v>50</v>
      </c>
      <c r="AB18" s="15" t="s">
        <v>195</v>
      </c>
      <c r="AC18" s="16">
        <v>5.7</v>
      </c>
      <c r="AD18" s="16">
        <v>0.7</v>
      </c>
      <c r="AE18" s="16">
        <v>0.6</v>
      </c>
      <c r="AF18" s="16">
        <v>0.05</v>
      </c>
      <c r="AH18" s="18" t="s">
        <v>244</v>
      </c>
      <c r="AI18" s="19">
        <v>500</v>
      </c>
      <c r="AJ18" s="20"/>
      <c r="AK18" s="21">
        <v>130</v>
      </c>
      <c r="AL18" s="21">
        <v>33</v>
      </c>
      <c r="AM18" s="21">
        <v>0</v>
      </c>
      <c r="AN18" s="21">
        <v>0</v>
      </c>
    </row>
    <row r="19" spans="1:40">
      <c r="A19" s="14" t="s">
        <v>210</v>
      </c>
      <c r="B19" s="6">
        <v>100</v>
      </c>
      <c r="C19" s="15" t="s">
        <v>211</v>
      </c>
      <c r="D19" s="16">
        <v>104</v>
      </c>
      <c r="E19" s="16">
        <v>3</v>
      </c>
      <c r="F19" s="16">
        <v>9.4</v>
      </c>
      <c r="G19" s="16">
        <v>6</v>
      </c>
      <c r="I19" s="14" t="s">
        <v>245</v>
      </c>
      <c r="J19" s="6">
        <v>9</v>
      </c>
      <c r="K19" s="15" t="s">
        <v>246</v>
      </c>
      <c r="L19" s="16">
        <v>46</v>
      </c>
      <c r="M19" s="16">
        <v>0.14000000000000001</v>
      </c>
      <c r="N19" s="16">
        <v>2</v>
      </c>
      <c r="O19" s="16">
        <v>4.2</v>
      </c>
      <c r="R19" s="14" t="s">
        <v>247</v>
      </c>
      <c r="S19" s="6">
        <v>22.08</v>
      </c>
      <c r="T19" s="15" t="s">
        <v>248</v>
      </c>
      <c r="U19" s="16">
        <v>68</v>
      </c>
      <c r="V19" s="16">
        <v>16.600000000000001</v>
      </c>
      <c r="W19" s="16">
        <v>0.4</v>
      </c>
      <c r="X19" s="16">
        <v>0.03</v>
      </c>
      <c r="Z19" s="14" t="s">
        <v>249</v>
      </c>
      <c r="AA19" s="6">
        <v>27</v>
      </c>
      <c r="AB19" s="15" t="s">
        <v>140</v>
      </c>
      <c r="AC19" s="16">
        <v>1.9</v>
      </c>
      <c r="AD19" s="16">
        <v>0.08</v>
      </c>
      <c r="AE19" s="16">
        <v>0.27</v>
      </c>
      <c r="AF19" s="16">
        <v>0.05</v>
      </c>
      <c r="AH19" s="14" t="s">
        <v>250</v>
      </c>
      <c r="AI19" s="6">
        <v>20</v>
      </c>
      <c r="AJ19" s="15" t="s">
        <v>138</v>
      </c>
      <c r="AK19" s="16">
        <v>52</v>
      </c>
      <c r="AL19" s="16">
        <v>12.9</v>
      </c>
      <c r="AM19" s="16">
        <v>0</v>
      </c>
      <c r="AN19" s="16">
        <v>0.04</v>
      </c>
    </row>
    <row r="20" spans="1:40">
      <c r="A20" s="14" t="s">
        <v>251</v>
      </c>
      <c r="B20" s="6">
        <v>100</v>
      </c>
      <c r="C20" s="15" t="s">
        <v>211</v>
      </c>
      <c r="D20" s="16">
        <v>69</v>
      </c>
      <c r="E20" s="16">
        <v>3.2</v>
      </c>
      <c r="F20" s="16">
        <v>10.6</v>
      </c>
      <c r="G20" s="16">
        <v>1.5</v>
      </c>
      <c r="I20" s="14" t="s">
        <v>252</v>
      </c>
      <c r="J20" s="6">
        <v>35</v>
      </c>
      <c r="K20" s="15" t="s">
        <v>138</v>
      </c>
      <c r="L20" s="16">
        <v>45</v>
      </c>
      <c r="M20" s="16">
        <v>0.77</v>
      </c>
      <c r="N20" s="16">
        <v>0.49</v>
      </c>
      <c r="O20" s="16">
        <v>4.4000000000000004</v>
      </c>
      <c r="R20" s="14" t="s">
        <v>253</v>
      </c>
      <c r="S20" s="6">
        <v>40</v>
      </c>
      <c r="T20" s="15" t="s">
        <v>254</v>
      </c>
      <c r="U20" s="16">
        <v>158</v>
      </c>
      <c r="V20" s="16">
        <v>17.899999999999999</v>
      </c>
      <c r="W20" s="16">
        <v>3.9</v>
      </c>
      <c r="X20" s="16">
        <v>7.8</v>
      </c>
      <c r="Z20" s="14" t="s">
        <v>255</v>
      </c>
      <c r="AA20" s="6">
        <v>20</v>
      </c>
      <c r="AB20" s="15" t="s">
        <v>140</v>
      </c>
      <c r="AC20" s="16">
        <v>7.3</v>
      </c>
      <c r="AD20" s="16">
        <v>1.6</v>
      </c>
      <c r="AE20" s="16">
        <v>0.2</v>
      </c>
      <c r="AF20" s="16">
        <v>0.02</v>
      </c>
      <c r="AH20" s="14" t="s">
        <v>256</v>
      </c>
      <c r="AI20" s="6">
        <v>18</v>
      </c>
      <c r="AJ20" s="15" t="s">
        <v>257</v>
      </c>
      <c r="AK20" s="16">
        <v>32.299999999999997</v>
      </c>
      <c r="AL20" s="16">
        <v>0.59</v>
      </c>
      <c r="AM20" s="16">
        <v>7.3</v>
      </c>
      <c r="AN20" s="16">
        <v>7.0000000000000007E-2</v>
      </c>
    </row>
    <row r="21" spans="1:40">
      <c r="A21" s="14" t="s">
        <v>258</v>
      </c>
      <c r="B21" s="6">
        <v>120</v>
      </c>
      <c r="C21" s="15" t="s">
        <v>157</v>
      </c>
      <c r="D21" s="16">
        <v>131</v>
      </c>
      <c r="E21" s="16">
        <v>0</v>
      </c>
      <c r="F21" s="16">
        <v>25.1</v>
      </c>
      <c r="G21" s="16">
        <v>3.4</v>
      </c>
      <c r="I21" s="14" t="s">
        <v>259</v>
      </c>
      <c r="J21" s="6">
        <v>30</v>
      </c>
      <c r="K21" s="15" t="s">
        <v>140</v>
      </c>
      <c r="L21" s="16">
        <v>189</v>
      </c>
      <c r="M21" s="16">
        <v>2.4</v>
      </c>
      <c r="N21" s="16">
        <v>5.0999999999999996</v>
      </c>
      <c r="O21" s="16">
        <v>17.7</v>
      </c>
      <c r="R21" s="14" t="s">
        <v>260</v>
      </c>
      <c r="S21" s="6">
        <v>34</v>
      </c>
      <c r="T21" s="15" t="s">
        <v>261</v>
      </c>
      <c r="U21" s="16">
        <v>97</v>
      </c>
      <c r="V21" s="16">
        <v>24.2</v>
      </c>
      <c r="W21" s="16">
        <v>0</v>
      </c>
      <c r="X21" s="16">
        <v>0</v>
      </c>
      <c r="Z21" s="14" t="s">
        <v>262</v>
      </c>
      <c r="AA21" s="6">
        <v>151</v>
      </c>
      <c r="AB21" s="15" t="s">
        <v>263</v>
      </c>
      <c r="AC21" s="16">
        <v>53</v>
      </c>
      <c r="AD21" s="16">
        <v>11.2</v>
      </c>
      <c r="AE21" s="16">
        <v>1.5</v>
      </c>
      <c r="AF21" s="16">
        <v>0.21</v>
      </c>
      <c r="AH21" s="14" t="s">
        <v>264</v>
      </c>
      <c r="AI21" s="6">
        <v>22</v>
      </c>
      <c r="AJ21" s="15" t="s">
        <v>138</v>
      </c>
      <c r="AK21" s="16">
        <v>159</v>
      </c>
      <c r="AL21" s="16">
        <v>0.28999999999999998</v>
      </c>
      <c r="AM21" s="16">
        <v>0.24</v>
      </c>
      <c r="AN21" s="16">
        <v>17.399999999999999</v>
      </c>
    </row>
    <row r="22" spans="1:40">
      <c r="A22" s="14" t="s">
        <v>265</v>
      </c>
      <c r="B22" s="6">
        <v>171</v>
      </c>
      <c r="C22" s="15" t="s">
        <v>266</v>
      </c>
      <c r="D22" s="16">
        <v>393</v>
      </c>
      <c r="E22" s="16">
        <v>0</v>
      </c>
      <c r="F22" s="16">
        <v>30.1</v>
      </c>
      <c r="G22" s="16">
        <v>11</v>
      </c>
      <c r="I22" s="14" t="s">
        <v>267</v>
      </c>
      <c r="J22" s="6">
        <v>12.6</v>
      </c>
      <c r="K22" s="15" t="s">
        <v>138</v>
      </c>
      <c r="L22" s="16">
        <v>113</v>
      </c>
      <c r="M22" s="16">
        <v>0</v>
      </c>
      <c r="N22" s="16">
        <v>0</v>
      </c>
      <c r="O22" s="16">
        <v>12.6</v>
      </c>
      <c r="P22" s="22"/>
      <c r="R22" s="14" t="s">
        <v>268</v>
      </c>
      <c r="S22" s="6">
        <v>30</v>
      </c>
      <c r="T22" s="15" t="s">
        <v>209</v>
      </c>
      <c r="U22" s="16">
        <v>85</v>
      </c>
      <c r="V22" s="16">
        <v>21.3</v>
      </c>
      <c r="W22" s="16">
        <v>0</v>
      </c>
      <c r="X22" s="16">
        <v>0</v>
      </c>
      <c r="Z22" s="14" t="s">
        <v>269</v>
      </c>
      <c r="AA22" s="6">
        <v>80</v>
      </c>
      <c r="AB22" s="15" t="s">
        <v>270</v>
      </c>
      <c r="AC22" s="16">
        <v>9.1</v>
      </c>
      <c r="AD22" s="16">
        <v>1.1000000000000001</v>
      </c>
      <c r="AE22" s="16">
        <v>0.8</v>
      </c>
      <c r="AF22" s="16">
        <v>0.16</v>
      </c>
      <c r="AH22" s="14" t="s">
        <v>271</v>
      </c>
      <c r="AI22" s="6">
        <v>22</v>
      </c>
      <c r="AJ22" s="15" t="s">
        <v>138</v>
      </c>
      <c r="AK22" s="16">
        <v>57</v>
      </c>
      <c r="AL22" s="16">
        <v>1.3</v>
      </c>
      <c r="AM22" s="16">
        <v>0.11</v>
      </c>
      <c r="AN22" s="16">
        <v>5.7</v>
      </c>
    </row>
    <row r="23" spans="1:40">
      <c r="A23" s="14" t="s">
        <v>272</v>
      </c>
      <c r="B23" s="6">
        <v>130</v>
      </c>
      <c r="C23" s="15" t="s">
        <v>273</v>
      </c>
      <c r="D23" s="16">
        <v>138</v>
      </c>
      <c r="E23" s="16">
        <v>0</v>
      </c>
      <c r="F23" s="16">
        <v>31.2</v>
      </c>
      <c r="G23" s="16">
        <v>1.4</v>
      </c>
      <c r="I23" s="14" t="s">
        <v>274</v>
      </c>
      <c r="J23" s="6">
        <v>15</v>
      </c>
      <c r="K23" s="15" t="s">
        <v>140</v>
      </c>
      <c r="L23" s="16">
        <v>15.4</v>
      </c>
      <c r="M23" s="16">
        <v>0</v>
      </c>
      <c r="N23" s="16">
        <v>0.14000000000000001</v>
      </c>
      <c r="O23" s="16">
        <v>1.7</v>
      </c>
      <c r="R23" s="14" t="s">
        <v>275</v>
      </c>
      <c r="S23" s="6">
        <v>60</v>
      </c>
      <c r="T23" s="15" t="s">
        <v>182</v>
      </c>
      <c r="U23" s="16">
        <v>86</v>
      </c>
      <c r="V23" s="16">
        <v>21.6</v>
      </c>
      <c r="W23" s="16">
        <v>0</v>
      </c>
      <c r="X23" s="16">
        <v>0</v>
      </c>
      <c r="Z23" s="14" t="s">
        <v>276</v>
      </c>
      <c r="AA23" s="6">
        <v>80</v>
      </c>
      <c r="AB23" s="15" t="s">
        <v>277</v>
      </c>
      <c r="AC23" s="16">
        <v>54</v>
      </c>
      <c r="AD23" s="16">
        <v>8</v>
      </c>
      <c r="AE23" s="16">
        <v>4.2</v>
      </c>
      <c r="AF23" s="16">
        <v>0.56000000000000005</v>
      </c>
      <c r="AH23" s="18" t="s">
        <v>278</v>
      </c>
      <c r="AI23" s="19">
        <v>135</v>
      </c>
      <c r="AJ23" s="20" t="s">
        <v>279</v>
      </c>
      <c r="AK23" s="21">
        <v>64</v>
      </c>
      <c r="AL23" s="21">
        <v>6</v>
      </c>
      <c r="AM23" s="21">
        <v>5</v>
      </c>
      <c r="AN23" s="21">
        <v>2</v>
      </c>
    </row>
    <row r="24" spans="1:40">
      <c r="A24" s="14" t="s">
        <v>280</v>
      </c>
      <c r="B24" s="6">
        <v>133</v>
      </c>
      <c r="C24" s="15" t="s">
        <v>281</v>
      </c>
      <c r="D24" s="16">
        <v>196</v>
      </c>
      <c r="E24" s="16">
        <v>3.2</v>
      </c>
      <c r="F24" s="16">
        <v>37.9</v>
      </c>
      <c r="G24" s="16">
        <v>3.5</v>
      </c>
      <c r="I24" s="14" t="s">
        <v>282</v>
      </c>
      <c r="J24" s="6">
        <v>20</v>
      </c>
      <c r="K24" s="15" t="s">
        <v>138</v>
      </c>
      <c r="L24" s="16">
        <v>121</v>
      </c>
      <c r="M24" s="16">
        <v>1.4</v>
      </c>
      <c r="N24" s="16">
        <v>5</v>
      </c>
      <c r="O24" s="16">
        <v>10.6</v>
      </c>
      <c r="R24" s="14" t="s">
        <v>283</v>
      </c>
      <c r="S24" s="6">
        <v>60</v>
      </c>
      <c r="T24" s="15" t="s">
        <v>140</v>
      </c>
      <c r="U24" s="16">
        <v>279</v>
      </c>
      <c r="V24" s="16">
        <v>34.799999999999997</v>
      </c>
      <c r="W24" s="16">
        <v>2.6</v>
      </c>
      <c r="X24" s="16">
        <v>14.4</v>
      </c>
      <c r="Z24" s="14" t="s">
        <v>284</v>
      </c>
      <c r="AA24" s="6">
        <v>121</v>
      </c>
      <c r="AB24" s="15" t="s">
        <v>140</v>
      </c>
      <c r="AC24" s="16">
        <v>31.3</v>
      </c>
      <c r="AD24" s="16">
        <v>5.8</v>
      </c>
      <c r="AE24" s="16">
        <v>1.2</v>
      </c>
      <c r="AF24" s="16">
        <v>0.36</v>
      </c>
      <c r="AH24" s="14" t="s">
        <v>285</v>
      </c>
      <c r="AI24" s="6">
        <v>15</v>
      </c>
      <c r="AJ24" s="15" t="s">
        <v>144</v>
      </c>
      <c r="AK24" s="16">
        <v>200</v>
      </c>
      <c r="AL24" s="16">
        <v>13.2</v>
      </c>
      <c r="AM24" s="16">
        <v>10.199999999999999</v>
      </c>
      <c r="AN24" s="16">
        <v>10.8</v>
      </c>
    </row>
    <row r="25" spans="1:40">
      <c r="A25" s="14" t="s">
        <v>286</v>
      </c>
      <c r="B25" s="6">
        <v>40</v>
      </c>
      <c r="C25" s="15" t="s">
        <v>140</v>
      </c>
      <c r="D25" s="16">
        <v>46</v>
      </c>
      <c r="E25" s="16">
        <v>0.76</v>
      </c>
      <c r="F25" s="16">
        <v>9.3000000000000007</v>
      </c>
      <c r="G25" s="16">
        <v>0.6</v>
      </c>
      <c r="R25" s="14" t="s">
        <v>287</v>
      </c>
      <c r="S25" s="6">
        <v>60</v>
      </c>
      <c r="T25" s="15" t="s">
        <v>140</v>
      </c>
      <c r="U25" s="16">
        <v>261</v>
      </c>
      <c r="V25" s="16">
        <v>31.4</v>
      </c>
      <c r="W25" s="16">
        <v>3.1</v>
      </c>
      <c r="X25" s="16">
        <v>13.7</v>
      </c>
      <c r="Z25" s="14" t="s">
        <v>288</v>
      </c>
      <c r="AA25" s="6">
        <v>20</v>
      </c>
      <c r="AB25" s="15" t="s">
        <v>289</v>
      </c>
      <c r="AC25" s="16">
        <v>2.4</v>
      </c>
      <c r="AD25" s="16">
        <v>0.38</v>
      </c>
      <c r="AE25" s="16">
        <v>0.14000000000000001</v>
      </c>
      <c r="AF25" s="16">
        <v>0.04</v>
      </c>
      <c r="AH25" s="14" t="s">
        <v>290</v>
      </c>
      <c r="AI25" s="6">
        <v>10</v>
      </c>
      <c r="AJ25" s="15" t="s">
        <v>140</v>
      </c>
      <c r="AK25" s="16">
        <v>9</v>
      </c>
      <c r="AL25" s="16">
        <v>2.1</v>
      </c>
      <c r="AM25" s="16">
        <v>0.16</v>
      </c>
      <c r="AN25" s="16">
        <v>0</v>
      </c>
    </row>
    <row r="26" spans="1:40">
      <c r="A26" s="14" t="s">
        <v>291</v>
      </c>
      <c r="B26" s="6">
        <v>120</v>
      </c>
      <c r="C26" s="15" t="s">
        <v>292</v>
      </c>
      <c r="D26" s="16">
        <v>194</v>
      </c>
      <c r="E26" s="16">
        <v>0</v>
      </c>
      <c r="F26" s="16">
        <v>22</v>
      </c>
      <c r="G26" s="16">
        <v>12</v>
      </c>
      <c r="R26" s="14" t="s">
        <v>293</v>
      </c>
      <c r="S26" s="6">
        <v>210</v>
      </c>
      <c r="T26" s="15" t="s">
        <v>294</v>
      </c>
      <c r="U26" s="16">
        <v>609</v>
      </c>
      <c r="V26" s="16">
        <v>92</v>
      </c>
      <c r="W26" s="16">
        <v>23.1</v>
      </c>
      <c r="X26" s="16">
        <v>16.399999999999999</v>
      </c>
      <c r="Z26" s="14" t="s">
        <v>295</v>
      </c>
      <c r="AA26" s="6">
        <v>30</v>
      </c>
      <c r="AB26" s="15" t="s">
        <v>296</v>
      </c>
      <c r="AC26" s="16">
        <v>6.6</v>
      </c>
      <c r="AD26" s="16">
        <v>1.1000000000000001</v>
      </c>
      <c r="AE26" s="16">
        <v>0.33</v>
      </c>
      <c r="AF26" s="16">
        <v>0.09</v>
      </c>
      <c r="AH26" s="14" t="s">
        <v>297</v>
      </c>
      <c r="AI26" s="6">
        <v>30</v>
      </c>
      <c r="AJ26" s="15" t="s">
        <v>138</v>
      </c>
      <c r="AK26" s="16">
        <v>42</v>
      </c>
      <c r="AL26" s="16">
        <v>1.3</v>
      </c>
      <c r="AM26" s="16">
        <v>2.5</v>
      </c>
      <c r="AN26" s="16">
        <v>3.1</v>
      </c>
    </row>
    <row r="27" spans="1:40">
      <c r="A27" s="14" t="s">
        <v>298</v>
      </c>
      <c r="B27" s="6">
        <v>133</v>
      </c>
      <c r="C27" s="15" t="s">
        <v>299</v>
      </c>
      <c r="D27" s="16">
        <v>306</v>
      </c>
      <c r="E27" s="16">
        <v>0</v>
      </c>
      <c r="F27" s="16">
        <v>23.5</v>
      </c>
      <c r="G27" s="16">
        <v>23.5</v>
      </c>
      <c r="R27" s="14" t="s">
        <v>300</v>
      </c>
      <c r="S27" s="6">
        <v>30</v>
      </c>
      <c r="T27" s="15" t="s">
        <v>301</v>
      </c>
      <c r="U27" s="16">
        <v>100</v>
      </c>
      <c r="V27" s="16">
        <v>23.1</v>
      </c>
      <c r="W27" s="16">
        <v>2</v>
      </c>
      <c r="X27" s="16">
        <v>0</v>
      </c>
      <c r="Z27" s="14" t="s">
        <v>302</v>
      </c>
      <c r="AA27" s="6">
        <v>80</v>
      </c>
      <c r="AB27" s="15" t="s">
        <v>303</v>
      </c>
      <c r="AC27" s="16">
        <v>14.4</v>
      </c>
      <c r="AD27" s="16">
        <v>0</v>
      </c>
      <c r="AE27" s="16">
        <v>2.9</v>
      </c>
      <c r="AF27" s="16">
        <v>0.32</v>
      </c>
      <c r="AH27" s="14" t="s">
        <v>304</v>
      </c>
      <c r="AI27" s="6">
        <v>160</v>
      </c>
      <c r="AJ27" s="15" t="s">
        <v>305</v>
      </c>
      <c r="AK27" s="16">
        <v>74</v>
      </c>
      <c r="AL27" s="16">
        <v>17.3</v>
      </c>
      <c r="AM27" s="16">
        <v>1.3</v>
      </c>
      <c r="AN27" s="16">
        <v>0</v>
      </c>
    </row>
    <row r="28" spans="1:40">
      <c r="A28" s="14" t="s">
        <v>306</v>
      </c>
      <c r="B28" s="6">
        <v>120</v>
      </c>
      <c r="C28" s="15" t="s">
        <v>149</v>
      </c>
      <c r="D28" s="16">
        <v>90</v>
      </c>
      <c r="E28" s="16">
        <v>0</v>
      </c>
      <c r="F28" s="16">
        <v>21</v>
      </c>
      <c r="G28" s="16">
        <v>0.72</v>
      </c>
      <c r="R28" s="14" t="s">
        <v>307</v>
      </c>
      <c r="S28" s="6">
        <v>25</v>
      </c>
      <c r="T28" s="15" t="s">
        <v>140</v>
      </c>
      <c r="U28" s="16">
        <v>3.6</v>
      </c>
      <c r="V28" s="16">
        <v>0.63</v>
      </c>
      <c r="W28" s="16">
        <v>0.23</v>
      </c>
      <c r="X28" s="16">
        <v>0.03</v>
      </c>
      <c r="Z28" s="14" t="s">
        <v>308</v>
      </c>
      <c r="AA28" s="6">
        <v>80</v>
      </c>
      <c r="AB28" s="15" t="s">
        <v>303</v>
      </c>
      <c r="AC28" s="16">
        <v>13.3</v>
      </c>
      <c r="AD28" s="16">
        <v>0.16</v>
      </c>
      <c r="AE28" s="16">
        <v>2.1</v>
      </c>
      <c r="AF28" s="16">
        <v>0.48</v>
      </c>
      <c r="AH28" s="14" t="s">
        <v>309</v>
      </c>
      <c r="AI28" s="6">
        <v>5</v>
      </c>
      <c r="AK28" s="16">
        <v>1.1000000000000001</v>
      </c>
      <c r="AL28" s="16">
        <v>0.08</v>
      </c>
      <c r="AM28" s="16">
        <v>0.13</v>
      </c>
      <c r="AN28" s="16">
        <v>0.03</v>
      </c>
    </row>
    <row r="29" spans="1:40">
      <c r="A29" s="14" t="s">
        <v>310</v>
      </c>
      <c r="B29" s="6">
        <v>47</v>
      </c>
      <c r="C29" s="15" t="s">
        <v>140</v>
      </c>
      <c r="D29" s="16">
        <v>97</v>
      </c>
      <c r="E29" s="16">
        <v>0.47</v>
      </c>
      <c r="F29" s="16">
        <v>12.2</v>
      </c>
      <c r="G29" s="16">
        <v>5.0999999999999996</v>
      </c>
      <c r="R29" s="14" t="s">
        <v>311</v>
      </c>
      <c r="S29" s="6">
        <v>50</v>
      </c>
      <c r="T29" s="15" t="s">
        <v>312</v>
      </c>
      <c r="U29" s="16">
        <v>213</v>
      </c>
      <c r="V29" s="16">
        <v>24.8</v>
      </c>
      <c r="W29" s="16">
        <v>5.5</v>
      </c>
      <c r="X29" s="16">
        <v>10.3</v>
      </c>
      <c r="Z29" s="14" t="s">
        <v>313</v>
      </c>
      <c r="AA29" s="6">
        <v>11</v>
      </c>
      <c r="AB29" s="15" t="s">
        <v>140</v>
      </c>
      <c r="AC29" s="16">
        <v>2.7</v>
      </c>
      <c r="AD29" s="16">
        <v>0.33</v>
      </c>
      <c r="AE29" s="16">
        <v>0.22</v>
      </c>
      <c r="AF29" s="16">
        <v>0.06</v>
      </c>
      <c r="AH29" s="14" t="s">
        <v>314</v>
      </c>
      <c r="AI29" s="6">
        <v>9</v>
      </c>
      <c r="AJ29" s="15" t="s">
        <v>216</v>
      </c>
      <c r="AK29" s="16">
        <v>22.4</v>
      </c>
      <c r="AL29" s="16">
        <v>5.5</v>
      </c>
      <c r="AM29" s="16">
        <v>0.03</v>
      </c>
      <c r="AN29" s="16">
        <v>0.01</v>
      </c>
    </row>
    <row r="30" spans="1:40">
      <c r="A30" s="14" t="s">
        <v>315</v>
      </c>
      <c r="B30" s="6">
        <v>64</v>
      </c>
      <c r="C30" s="15" t="s">
        <v>316</v>
      </c>
      <c r="D30" s="16">
        <v>27.7</v>
      </c>
      <c r="E30" s="16">
        <v>0</v>
      </c>
      <c r="F30" s="16">
        <v>6.9</v>
      </c>
      <c r="G30" s="16">
        <v>0</v>
      </c>
      <c r="R30" s="14" t="s">
        <v>317</v>
      </c>
      <c r="S30" s="6">
        <v>50</v>
      </c>
      <c r="T30" s="15" t="s">
        <v>179</v>
      </c>
      <c r="U30" s="16">
        <v>204</v>
      </c>
      <c r="V30" s="16">
        <v>31.1</v>
      </c>
      <c r="W30" s="16">
        <v>4.5</v>
      </c>
      <c r="X30" s="16">
        <v>6.9</v>
      </c>
      <c r="Z30" s="14" t="s">
        <v>318</v>
      </c>
      <c r="AA30" s="6">
        <v>66</v>
      </c>
      <c r="AB30" s="15" t="s">
        <v>319</v>
      </c>
      <c r="AC30" s="16">
        <v>51</v>
      </c>
      <c r="AD30" s="16">
        <v>8.6</v>
      </c>
      <c r="AE30" s="16">
        <v>1.7</v>
      </c>
      <c r="AF30" s="16">
        <v>1.1000000000000001</v>
      </c>
      <c r="AH30" s="14" t="s">
        <v>320</v>
      </c>
      <c r="AI30" s="6">
        <v>20</v>
      </c>
      <c r="AJ30" s="15" t="s">
        <v>138</v>
      </c>
      <c r="AK30" s="16">
        <v>65</v>
      </c>
      <c r="AL30" s="16">
        <v>4</v>
      </c>
      <c r="AM30" s="16">
        <v>0.3</v>
      </c>
      <c r="AN30" s="16">
        <v>5.3</v>
      </c>
    </row>
    <row r="31" spans="1:40">
      <c r="A31" s="14" t="s">
        <v>321</v>
      </c>
      <c r="B31" s="6">
        <v>114</v>
      </c>
      <c r="C31" s="15" t="s">
        <v>240</v>
      </c>
      <c r="D31" s="16">
        <v>149</v>
      </c>
      <c r="E31" s="16">
        <v>0</v>
      </c>
      <c r="F31" s="16">
        <v>14.4</v>
      </c>
      <c r="G31" s="16">
        <v>10.3</v>
      </c>
      <c r="R31" s="14" t="s">
        <v>322</v>
      </c>
      <c r="S31" s="6">
        <v>54</v>
      </c>
      <c r="T31" s="15" t="s">
        <v>140</v>
      </c>
      <c r="U31" s="16">
        <v>37.299999999999997</v>
      </c>
      <c r="V31" s="16">
        <v>8.6999999999999993</v>
      </c>
      <c r="W31" s="16">
        <v>0.38</v>
      </c>
      <c r="X31" s="16">
        <v>0.11</v>
      </c>
      <c r="Z31" s="14" t="s">
        <v>323</v>
      </c>
      <c r="AA31" s="6">
        <v>140</v>
      </c>
      <c r="AB31" s="15" t="s">
        <v>165</v>
      </c>
      <c r="AC31" s="16">
        <v>32.6</v>
      </c>
      <c r="AD31" s="16">
        <v>5</v>
      </c>
      <c r="AE31" s="16">
        <v>1.5</v>
      </c>
      <c r="AF31" s="16">
        <v>0.7</v>
      </c>
      <c r="AH31" s="14" t="s">
        <v>324</v>
      </c>
      <c r="AI31" s="6">
        <v>15</v>
      </c>
      <c r="AJ31" s="15" t="s">
        <v>140</v>
      </c>
      <c r="AK31" s="16">
        <v>23.7</v>
      </c>
      <c r="AL31" s="16">
        <v>2.2000000000000002</v>
      </c>
      <c r="AM31" s="16">
        <v>0.15</v>
      </c>
      <c r="AN31" s="16">
        <v>1.6</v>
      </c>
    </row>
    <row r="32" spans="1:40">
      <c r="A32" s="14" t="s">
        <v>325</v>
      </c>
      <c r="B32" s="6">
        <v>108</v>
      </c>
      <c r="C32" s="15" t="s">
        <v>326</v>
      </c>
      <c r="D32" s="16">
        <v>151</v>
      </c>
      <c r="E32" s="16">
        <v>0</v>
      </c>
      <c r="F32" s="16">
        <v>22.9</v>
      </c>
      <c r="G32" s="16">
        <v>6.6</v>
      </c>
      <c r="R32" s="18" t="s">
        <v>226</v>
      </c>
      <c r="S32" s="19">
        <v>21</v>
      </c>
      <c r="T32" s="20" t="s">
        <v>138</v>
      </c>
      <c r="U32" s="21">
        <v>65</v>
      </c>
      <c r="V32" s="21">
        <v>16</v>
      </c>
      <c r="W32" s="21">
        <v>0</v>
      </c>
      <c r="X32" s="21">
        <v>0</v>
      </c>
      <c r="Z32" s="14" t="s">
        <v>327</v>
      </c>
      <c r="AA32" s="6">
        <v>130</v>
      </c>
      <c r="AB32" s="15" t="s">
        <v>328</v>
      </c>
      <c r="AC32" s="16">
        <v>19.399999999999999</v>
      </c>
      <c r="AD32" s="16">
        <v>3.9</v>
      </c>
      <c r="AE32" s="16">
        <v>0.65</v>
      </c>
      <c r="AF32" s="16">
        <v>0.13</v>
      </c>
      <c r="AH32" s="14" t="s">
        <v>329</v>
      </c>
      <c r="AI32" s="6">
        <v>42</v>
      </c>
      <c r="AJ32" s="15" t="s">
        <v>138</v>
      </c>
      <c r="AK32" s="16">
        <v>105</v>
      </c>
      <c r="AL32" s="16">
        <v>1.6</v>
      </c>
      <c r="AM32" s="16">
        <v>1</v>
      </c>
      <c r="AN32" s="16">
        <v>10.5</v>
      </c>
    </row>
    <row r="33" spans="1:40">
      <c r="A33" s="14" t="s">
        <v>330</v>
      </c>
      <c r="B33" s="6">
        <v>108</v>
      </c>
      <c r="C33" s="15" t="s">
        <v>149</v>
      </c>
      <c r="D33" s="16">
        <v>81</v>
      </c>
      <c r="E33" s="16">
        <v>0</v>
      </c>
      <c r="F33" s="16">
        <v>19.2</v>
      </c>
      <c r="G33" s="16">
        <v>0.43</v>
      </c>
      <c r="R33" s="14" t="s">
        <v>331</v>
      </c>
      <c r="S33" s="6">
        <v>18</v>
      </c>
      <c r="T33" s="15" t="s">
        <v>332</v>
      </c>
      <c r="U33" s="16">
        <v>49</v>
      </c>
      <c r="V33" s="16">
        <v>12.2</v>
      </c>
      <c r="W33" s="16">
        <v>0.11</v>
      </c>
      <c r="X33" s="16">
        <v>0</v>
      </c>
      <c r="Z33" s="14" t="s">
        <v>333</v>
      </c>
      <c r="AA33" s="6">
        <v>95</v>
      </c>
      <c r="AB33" s="15" t="s">
        <v>140</v>
      </c>
      <c r="AC33" s="16">
        <v>19.5</v>
      </c>
      <c r="AD33" s="16">
        <v>3.6</v>
      </c>
      <c r="AE33" s="16">
        <v>1</v>
      </c>
      <c r="AF33" s="16">
        <v>0.1</v>
      </c>
      <c r="AH33" s="14" t="s">
        <v>334</v>
      </c>
      <c r="AI33" s="6">
        <v>18</v>
      </c>
      <c r="AJ33" s="15" t="s">
        <v>138</v>
      </c>
      <c r="AK33" s="16">
        <v>7.8</v>
      </c>
      <c r="AL33" s="16">
        <v>1.4</v>
      </c>
      <c r="AM33" s="16">
        <v>0.54</v>
      </c>
      <c r="AN33" s="16">
        <v>0</v>
      </c>
    </row>
    <row r="34" spans="1:40">
      <c r="A34" s="14" t="s">
        <v>335</v>
      </c>
      <c r="B34" s="6">
        <v>100</v>
      </c>
      <c r="C34" s="15" t="s">
        <v>157</v>
      </c>
      <c r="D34" s="16">
        <v>179</v>
      </c>
      <c r="E34" s="16">
        <v>0</v>
      </c>
      <c r="F34" s="16">
        <v>19.600000000000001</v>
      </c>
      <c r="G34" s="16">
        <v>11.2</v>
      </c>
      <c r="R34" s="14" t="s">
        <v>336</v>
      </c>
      <c r="S34" s="6">
        <v>150</v>
      </c>
      <c r="T34" s="15" t="s">
        <v>165</v>
      </c>
      <c r="U34" s="16">
        <v>136</v>
      </c>
      <c r="V34" s="16">
        <v>21.6</v>
      </c>
      <c r="W34" s="16">
        <v>10.4</v>
      </c>
      <c r="X34" s="16">
        <v>0.9</v>
      </c>
      <c r="AH34" s="14" t="s">
        <v>337</v>
      </c>
      <c r="AI34" s="6">
        <v>20</v>
      </c>
      <c r="AJ34" s="15" t="s">
        <v>138</v>
      </c>
      <c r="AK34" s="16">
        <v>49</v>
      </c>
      <c r="AL34" s="16">
        <v>11.5</v>
      </c>
      <c r="AM34" s="16">
        <v>0.3</v>
      </c>
      <c r="AN34" s="16">
        <v>0.2</v>
      </c>
    </row>
    <row r="35" spans="1:40">
      <c r="A35" s="14" t="s">
        <v>338</v>
      </c>
      <c r="B35" s="6">
        <v>140</v>
      </c>
      <c r="C35" s="15" t="s">
        <v>149</v>
      </c>
      <c r="D35" s="16">
        <v>275</v>
      </c>
      <c r="E35" s="16">
        <v>0</v>
      </c>
      <c r="F35" s="16">
        <v>26.7</v>
      </c>
      <c r="G35" s="16">
        <v>18.600000000000001</v>
      </c>
      <c r="R35" s="14" t="s">
        <v>339</v>
      </c>
      <c r="S35" s="6">
        <v>75</v>
      </c>
      <c r="T35" s="15" t="s">
        <v>340</v>
      </c>
      <c r="U35" s="16">
        <v>32.700000000000003</v>
      </c>
      <c r="V35" s="16">
        <v>6.8</v>
      </c>
      <c r="W35" s="16">
        <v>0.75</v>
      </c>
      <c r="X35" s="16">
        <v>0.3</v>
      </c>
      <c r="AH35" s="14" t="s">
        <v>341</v>
      </c>
      <c r="AI35" s="6">
        <v>18</v>
      </c>
      <c r="AJ35" s="15" t="s">
        <v>138</v>
      </c>
      <c r="AK35" s="16">
        <v>109</v>
      </c>
      <c r="AL35" s="16">
        <v>0.14000000000000001</v>
      </c>
      <c r="AM35" s="16">
        <v>3.3</v>
      </c>
      <c r="AN35" s="16">
        <v>10.6</v>
      </c>
    </row>
    <row r="36" spans="1:40">
      <c r="A36" s="14" t="s">
        <v>342</v>
      </c>
      <c r="B36" s="6">
        <v>125</v>
      </c>
      <c r="C36" s="15" t="s">
        <v>343</v>
      </c>
      <c r="D36" s="16">
        <v>258</v>
      </c>
      <c r="E36" s="16">
        <v>1.8</v>
      </c>
      <c r="F36" s="16">
        <v>20.5</v>
      </c>
      <c r="G36" s="16">
        <v>18.8</v>
      </c>
      <c r="R36" s="14" t="s">
        <v>344</v>
      </c>
      <c r="S36" s="6">
        <v>36.9</v>
      </c>
      <c r="T36" s="15" t="s">
        <v>345</v>
      </c>
      <c r="U36" s="16">
        <v>38</v>
      </c>
      <c r="V36" s="16">
        <v>5.7</v>
      </c>
      <c r="W36" s="16">
        <v>3.2</v>
      </c>
      <c r="X36" s="16">
        <v>0.26</v>
      </c>
      <c r="AH36" s="14" t="s">
        <v>346</v>
      </c>
      <c r="AI36" s="6">
        <v>12</v>
      </c>
      <c r="AJ36" s="15" t="s">
        <v>140</v>
      </c>
      <c r="AK36" s="16">
        <v>35.6</v>
      </c>
      <c r="AL36" s="16">
        <v>2.1</v>
      </c>
      <c r="AM36" s="16">
        <v>0.16</v>
      </c>
      <c r="AN36" s="16">
        <v>3</v>
      </c>
    </row>
    <row r="37" spans="1:40">
      <c r="A37" s="14" t="s">
        <v>347</v>
      </c>
      <c r="B37" s="6">
        <v>150</v>
      </c>
      <c r="C37" s="15" t="s">
        <v>340</v>
      </c>
      <c r="D37" s="16">
        <v>452</v>
      </c>
      <c r="E37" s="16">
        <v>0</v>
      </c>
      <c r="F37" s="16">
        <v>31.7</v>
      </c>
      <c r="G37" s="16">
        <v>36.200000000000003</v>
      </c>
      <c r="R37" s="14" t="s">
        <v>348</v>
      </c>
      <c r="S37" s="6">
        <v>45</v>
      </c>
      <c r="T37" s="15" t="s">
        <v>261</v>
      </c>
      <c r="U37" s="16">
        <v>113</v>
      </c>
      <c r="V37" s="16">
        <v>28.3</v>
      </c>
      <c r="W37" s="16">
        <v>0</v>
      </c>
      <c r="X37" s="16">
        <v>0</v>
      </c>
      <c r="AH37" s="14" t="s">
        <v>349</v>
      </c>
      <c r="AI37" s="6">
        <v>24</v>
      </c>
      <c r="AJ37" s="15" t="s">
        <v>138</v>
      </c>
      <c r="AK37" s="16">
        <v>23.5</v>
      </c>
      <c r="AL37" s="16">
        <v>5.6</v>
      </c>
      <c r="AM37" s="16">
        <v>0.22</v>
      </c>
      <c r="AN37" s="16">
        <v>0.02</v>
      </c>
    </row>
    <row r="38" spans="1:40">
      <c r="A38" s="14" t="s">
        <v>350</v>
      </c>
      <c r="B38" s="6">
        <v>135</v>
      </c>
      <c r="C38" s="15" t="s">
        <v>279</v>
      </c>
      <c r="D38" s="16">
        <v>64</v>
      </c>
      <c r="E38" s="16">
        <v>6.1</v>
      </c>
      <c r="F38" s="16">
        <v>4.7</v>
      </c>
      <c r="G38" s="16">
        <v>2.2999999999999998</v>
      </c>
      <c r="R38" s="14" t="s">
        <v>244</v>
      </c>
      <c r="S38" s="6">
        <v>500</v>
      </c>
      <c r="U38" s="16">
        <v>130</v>
      </c>
      <c r="V38" s="16">
        <v>32.5</v>
      </c>
      <c r="W38" s="16">
        <v>0</v>
      </c>
      <c r="X38" s="16">
        <v>0</v>
      </c>
    </row>
    <row r="39" spans="1:40">
      <c r="A39" s="14" t="s">
        <v>351</v>
      </c>
      <c r="B39" s="6">
        <v>85</v>
      </c>
      <c r="C39" s="15" t="s">
        <v>157</v>
      </c>
      <c r="D39" s="16">
        <v>63</v>
      </c>
      <c r="E39" s="16">
        <v>2.1</v>
      </c>
      <c r="F39" s="16">
        <v>10.3</v>
      </c>
      <c r="G39" s="16">
        <v>1.5</v>
      </c>
      <c r="R39" s="14" t="s">
        <v>352</v>
      </c>
      <c r="S39" s="6">
        <v>50</v>
      </c>
      <c r="T39" s="15" t="s">
        <v>353</v>
      </c>
      <c r="U39" s="16">
        <v>188</v>
      </c>
      <c r="V39" s="16">
        <v>47</v>
      </c>
      <c r="W39" s="16">
        <v>0.01</v>
      </c>
      <c r="X39" s="16">
        <v>0.01</v>
      </c>
    </row>
    <row r="40" spans="1:40">
      <c r="A40" s="14" t="s">
        <v>354</v>
      </c>
      <c r="B40" s="6">
        <v>150</v>
      </c>
      <c r="D40" s="16">
        <v>405</v>
      </c>
      <c r="E40" s="16">
        <v>0</v>
      </c>
      <c r="F40" s="16">
        <v>27.9</v>
      </c>
      <c r="G40" s="16">
        <v>32.6</v>
      </c>
      <c r="R40" s="14" t="s">
        <v>355</v>
      </c>
      <c r="S40" s="6">
        <v>52</v>
      </c>
      <c r="T40" s="15" t="s">
        <v>140</v>
      </c>
      <c r="U40" s="16">
        <v>30.7</v>
      </c>
      <c r="V40" s="16">
        <v>7.1</v>
      </c>
      <c r="W40" s="16">
        <v>0.36</v>
      </c>
      <c r="X40" s="16">
        <v>0.1</v>
      </c>
    </row>
    <row r="41" spans="1:40">
      <c r="A41" s="14" t="s">
        <v>356</v>
      </c>
      <c r="B41" s="6">
        <v>140</v>
      </c>
      <c r="C41" s="15" t="s">
        <v>149</v>
      </c>
      <c r="D41" s="16">
        <v>230</v>
      </c>
      <c r="E41" s="16">
        <v>0</v>
      </c>
      <c r="F41" s="16">
        <v>26.9</v>
      </c>
      <c r="G41" s="16">
        <v>13.6</v>
      </c>
      <c r="R41" s="14" t="s">
        <v>357</v>
      </c>
      <c r="S41" s="6">
        <v>130</v>
      </c>
      <c r="T41" s="15" t="s">
        <v>140</v>
      </c>
      <c r="U41" s="16">
        <v>31.9</v>
      </c>
      <c r="V41" s="16">
        <v>7</v>
      </c>
      <c r="W41" s="16">
        <v>0.65</v>
      </c>
      <c r="X41" s="16">
        <v>0.13</v>
      </c>
    </row>
    <row r="42" spans="1:40">
      <c r="A42" s="14" t="s">
        <v>358</v>
      </c>
      <c r="B42" s="6">
        <v>140</v>
      </c>
      <c r="C42" s="15" t="s">
        <v>359</v>
      </c>
      <c r="D42" s="16">
        <v>107</v>
      </c>
      <c r="E42" s="16">
        <v>0</v>
      </c>
      <c r="F42" s="16">
        <v>24.6</v>
      </c>
      <c r="G42" s="16">
        <v>0.98</v>
      </c>
      <c r="R42" s="14" t="s">
        <v>360</v>
      </c>
      <c r="S42" s="6">
        <v>154</v>
      </c>
      <c r="T42" s="15" t="s">
        <v>361</v>
      </c>
      <c r="U42" s="16">
        <v>50</v>
      </c>
      <c r="V42" s="16">
        <v>10.6</v>
      </c>
      <c r="W42" s="16">
        <v>0.77</v>
      </c>
      <c r="X42" s="16">
        <v>0.46</v>
      </c>
    </row>
    <row r="43" spans="1:40">
      <c r="A43" s="14" t="s">
        <v>362</v>
      </c>
      <c r="B43" s="6">
        <v>125</v>
      </c>
      <c r="C43" s="15" t="s">
        <v>363</v>
      </c>
      <c r="D43" s="16">
        <v>85</v>
      </c>
      <c r="E43" s="16">
        <v>4.8</v>
      </c>
      <c r="F43" s="16">
        <v>15.6</v>
      </c>
      <c r="G43" s="16">
        <v>0.38</v>
      </c>
      <c r="R43" s="14" t="s">
        <v>364</v>
      </c>
      <c r="S43" s="6">
        <v>150</v>
      </c>
      <c r="T43" s="15" t="s">
        <v>165</v>
      </c>
      <c r="U43" s="16">
        <v>155</v>
      </c>
      <c r="V43" s="16">
        <v>24.3</v>
      </c>
      <c r="W43" s="16">
        <v>11</v>
      </c>
      <c r="X43" s="16">
        <v>1.6</v>
      </c>
    </row>
    <row r="44" spans="1:40">
      <c r="A44" s="14" t="s">
        <v>365</v>
      </c>
      <c r="B44" s="6">
        <v>150</v>
      </c>
      <c r="C44" s="15" t="s">
        <v>366</v>
      </c>
      <c r="D44" s="16">
        <v>325</v>
      </c>
      <c r="E44" s="16">
        <v>0</v>
      </c>
      <c r="F44" s="16">
        <v>30.6</v>
      </c>
      <c r="G44" s="16">
        <v>22.5</v>
      </c>
      <c r="R44" s="14" t="s">
        <v>367</v>
      </c>
      <c r="S44" s="6">
        <v>45</v>
      </c>
      <c r="T44" s="15" t="s">
        <v>368</v>
      </c>
      <c r="U44" s="16">
        <v>159</v>
      </c>
      <c r="V44" s="16">
        <v>29.4</v>
      </c>
      <c r="W44" s="16">
        <v>4.4000000000000004</v>
      </c>
      <c r="X44" s="16">
        <v>2.7</v>
      </c>
    </row>
    <row r="45" spans="1:40">
      <c r="A45" s="14" t="s">
        <v>369</v>
      </c>
      <c r="B45" s="6">
        <v>155</v>
      </c>
      <c r="C45" s="15" t="s">
        <v>370</v>
      </c>
      <c r="D45" s="16">
        <v>213</v>
      </c>
      <c r="E45" s="16">
        <v>0</v>
      </c>
      <c r="F45" s="16">
        <v>36.6</v>
      </c>
      <c r="G45" s="16">
        <v>7.4</v>
      </c>
      <c r="R45" s="14" t="s">
        <v>371</v>
      </c>
      <c r="S45" s="6">
        <v>132</v>
      </c>
      <c r="T45" s="15" t="s">
        <v>149</v>
      </c>
      <c r="U45" s="16">
        <v>48</v>
      </c>
      <c r="V45" s="16">
        <v>10.199999999999999</v>
      </c>
      <c r="W45" s="16">
        <v>1.6</v>
      </c>
      <c r="X45" s="16">
        <v>0.13</v>
      </c>
    </row>
    <row r="46" spans="1:40">
      <c r="A46" s="14" t="s">
        <v>372</v>
      </c>
      <c r="B46" s="6">
        <v>56</v>
      </c>
      <c r="C46" s="15" t="s">
        <v>140</v>
      </c>
      <c r="D46" s="16">
        <v>103</v>
      </c>
      <c r="E46" s="16">
        <v>0.28000000000000003</v>
      </c>
      <c r="F46" s="16">
        <v>12.8</v>
      </c>
      <c r="G46" s="16">
        <v>5.7</v>
      </c>
      <c r="R46" s="14" t="s">
        <v>373</v>
      </c>
      <c r="S46" s="6">
        <v>38</v>
      </c>
      <c r="T46" s="15" t="s">
        <v>165</v>
      </c>
      <c r="U46" s="16">
        <v>126</v>
      </c>
      <c r="V46" s="16">
        <v>25.1</v>
      </c>
      <c r="W46" s="16">
        <v>4.5999999999999996</v>
      </c>
      <c r="X46" s="16">
        <v>0.76</v>
      </c>
    </row>
    <row r="47" spans="1:40">
      <c r="A47" s="14" t="s">
        <v>374</v>
      </c>
      <c r="B47" s="6">
        <v>150</v>
      </c>
      <c r="C47" s="15" t="s">
        <v>366</v>
      </c>
      <c r="D47" s="16">
        <v>269</v>
      </c>
      <c r="E47" s="16">
        <v>0</v>
      </c>
      <c r="F47" s="16">
        <v>33.200000000000003</v>
      </c>
      <c r="G47" s="16">
        <v>15.2</v>
      </c>
      <c r="R47" s="14" t="s">
        <v>375</v>
      </c>
      <c r="S47" s="6">
        <v>63</v>
      </c>
      <c r="T47" s="15" t="s">
        <v>376</v>
      </c>
      <c r="U47" s="16">
        <v>198</v>
      </c>
      <c r="V47" s="16">
        <v>49</v>
      </c>
      <c r="W47" s="16">
        <v>0.1</v>
      </c>
      <c r="X47" s="16">
        <v>0.04</v>
      </c>
    </row>
    <row r="48" spans="1:40">
      <c r="A48" s="14" t="s">
        <v>377</v>
      </c>
      <c r="B48" s="6">
        <v>85</v>
      </c>
      <c r="C48" s="15" t="s">
        <v>157</v>
      </c>
      <c r="D48" s="16">
        <v>187</v>
      </c>
      <c r="E48" s="16">
        <v>0</v>
      </c>
      <c r="F48" s="16">
        <v>19.8</v>
      </c>
      <c r="G48" s="16">
        <v>12</v>
      </c>
      <c r="R48" s="14" t="s">
        <v>378</v>
      </c>
      <c r="S48" s="6">
        <v>57</v>
      </c>
      <c r="T48" s="15" t="s">
        <v>379</v>
      </c>
      <c r="U48" s="16">
        <v>207</v>
      </c>
      <c r="V48" s="16">
        <v>43</v>
      </c>
      <c r="W48" s="16">
        <v>8.1999999999999993</v>
      </c>
      <c r="X48" s="16">
        <v>0.4</v>
      </c>
    </row>
    <row r="49" spans="1:24">
      <c r="A49" s="14" t="s">
        <v>380</v>
      </c>
      <c r="B49" s="6">
        <v>85</v>
      </c>
      <c r="C49" s="15" t="s">
        <v>140</v>
      </c>
      <c r="D49" s="16">
        <v>149</v>
      </c>
      <c r="E49" s="16">
        <v>0.77</v>
      </c>
      <c r="F49" s="16">
        <v>15.7</v>
      </c>
      <c r="G49" s="16">
        <v>9.1999999999999993</v>
      </c>
      <c r="R49" s="18" t="s">
        <v>381</v>
      </c>
      <c r="S49" s="19">
        <v>21</v>
      </c>
      <c r="T49" s="20" t="s">
        <v>382</v>
      </c>
      <c r="U49" s="21">
        <v>94</v>
      </c>
      <c r="V49" s="21">
        <v>14</v>
      </c>
      <c r="W49" s="21">
        <v>2</v>
      </c>
      <c r="X49" s="21">
        <v>4</v>
      </c>
    </row>
    <row r="50" spans="1:24">
      <c r="A50" s="14" t="s">
        <v>383</v>
      </c>
      <c r="B50" s="6">
        <v>114</v>
      </c>
      <c r="C50" s="15" t="s">
        <v>384</v>
      </c>
      <c r="D50" s="16">
        <v>351</v>
      </c>
      <c r="E50" s="16">
        <v>10.1</v>
      </c>
      <c r="F50" s="16">
        <v>13.6</v>
      </c>
      <c r="G50" s="16">
        <v>28.5</v>
      </c>
      <c r="R50" s="14" t="s">
        <v>385</v>
      </c>
      <c r="S50" s="6">
        <v>40</v>
      </c>
      <c r="T50" s="15" t="s">
        <v>386</v>
      </c>
      <c r="U50" s="16">
        <v>149</v>
      </c>
      <c r="V50" s="16">
        <v>25.7</v>
      </c>
      <c r="W50" s="16">
        <v>4.4000000000000004</v>
      </c>
      <c r="X50" s="16">
        <v>3.2</v>
      </c>
    </row>
    <row r="51" spans="1:24">
      <c r="A51" s="14" t="s">
        <v>387</v>
      </c>
      <c r="B51" s="6">
        <v>100</v>
      </c>
      <c r="C51" s="15" t="s">
        <v>388</v>
      </c>
      <c r="D51" s="16">
        <v>168</v>
      </c>
      <c r="E51" s="16">
        <v>0</v>
      </c>
      <c r="F51" s="16">
        <v>20</v>
      </c>
      <c r="G51" s="16">
        <v>9.8000000000000007</v>
      </c>
      <c r="R51" s="14" t="s">
        <v>389</v>
      </c>
      <c r="S51" s="6">
        <v>9.6</v>
      </c>
      <c r="T51" s="15" t="s">
        <v>390</v>
      </c>
      <c r="U51" s="16">
        <v>41</v>
      </c>
      <c r="V51" s="16">
        <v>5.6</v>
      </c>
      <c r="W51" s="16">
        <v>0.91</v>
      </c>
      <c r="X51" s="16">
        <v>1.6</v>
      </c>
    </row>
    <row r="52" spans="1:24">
      <c r="A52" s="14" t="s">
        <v>391</v>
      </c>
      <c r="B52" s="6">
        <v>150</v>
      </c>
      <c r="C52" s="15" t="s">
        <v>363</v>
      </c>
      <c r="D52" s="16">
        <v>92</v>
      </c>
      <c r="E52" s="16">
        <v>5.9</v>
      </c>
      <c r="F52" s="16">
        <v>16.5</v>
      </c>
      <c r="G52" s="16">
        <v>0.3</v>
      </c>
      <c r="R52" s="14" t="s">
        <v>392</v>
      </c>
      <c r="S52" s="6">
        <v>30</v>
      </c>
      <c r="T52" s="15" t="s">
        <v>393</v>
      </c>
      <c r="U52" s="16">
        <v>7.4</v>
      </c>
      <c r="V52" s="16">
        <v>1.4</v>
      </c>
      <c r="W52" s="16">
        <v>0.27</v>
      </c>
      <c r="X52" s="16">
        <v>0.06</v>
      </c>
    </row>
    <row r="53" spans="1:24">
      <c r="A53" s="14" t="s">
        <v>394</v>
      </c>
      <c r="B53" s="6">
        <v>150</v>
      </c>
      <c r="C53" s="15" t="s">
        <v>363</v>
      </c>
      <c r="D53" s="16">
        <v>107</v>
      </c>
      <c r="E53" s="16">
        <v>12</v>
      </c>
      <c r="F53" s="16">
        <v>14.1</v>
      </c>
      <c r="G53" s="16">
        <v>0.3</v>
      </c>
      <c r="R53" s="14" t="s">
        <v>304</v>
      </c>
      <c r="S53" s="6">
        <v>160</v>
      </c>
      <c r="T53" s="15" t="s">
        <v>305</v>
      </c>
      <c r="U53" s="16">
        <v>74</v>
      </c>
      <c r="V53" s="16">
        <v>17.3</v>
      </c>
      <c r="W53" s="16">
        <v>1.3</v>
      </c>
      <c r="X53" s="16">
        <v>0</v>
      </c>
    </row>
    <row r="54" spans="1:24">
      <c r="A54" s="14" t="s">
        <v>395</v>
      </c>
      <c r="B54" s="6">
        <v>140</v>
      </c>
      <c r="C54" s="15" t="s">
        <v>396</v>
      </c>
      <c r="D54" s="16">
        <v>175</v>
      </c>
      <c r="E54" s="16">
        <v>0</v>
      </c>
      <c r="F54" s="16">
        <v>30.8</v>
      </c>
      <c r="G54" s="16">
        <v>5.7</v>
      </c>
      <c r="R54" s="14" t="s">
        <v>397</v>
      </c>
      <c r="S54" s="6">
        <v>200</v>
      </c>
      <c r="T54" s="15" t="s">
        <v>398</v>
      </c>
      <c r="U54" s="16">
        <v>56</v>
      </c>
      <c r="V54" s="16">
        <v>11.4</v>
      </c>
      <c r="W54" s="16">
        <v>1.6</v>
      </c>
      <c r="X54" s="16">
        <v>0.4</v>
      </c>
    </row>
    <row r="55" spans="1:24">
      <c r="A55" s="14" t="s">
        <v>399</v>
      </c>
      <c r="B55" s="6">
        <v>78</v>
      </c>
      <c r="C55" s="15" t="s">
        <v>179</v>
      </c>
      <c r="D55" s="16">
        <v>128</v>
      </c>
      <c r="E55" s="16">
        <v>4.5999999999999996</v>
      </c>
      <c r="F55" s="16">
        <v>16.100000000000001</v>
      </c>
      <c r="G55" s="16">
        <v>5</v>
      </c>
      <c r="R55" s="14" t="s">
        <v>400</v>
      </c>
      <c r="S55" s="6">
        <v>59</v>
      </c>
      <c r="T55" s="15" t="s">
        <v>140</v>
      </c>
      <c r="U55" s="16">
        <v>159</v>
      </c>
      <c r="V55" s="16">
        <v>23.7</v>
      </c>
      <c r="W55" s="16">
        <v>3.3</v>
      </c>
      <c r="X55" s="16">
        <v>5.7</v>
      </c>
    </row>
    <row r="56" spans="1:24">
      <c r="A56" s="14" t="s">
        <v>401</v>
      </c>
      <c r="B56" s="6">
        <v>125</v>
      </c>
      <c r="C56" s="15" t="s">
        <v>179</v>
      </c>
      <c r="D56" s="16">
        <v>104</v>
      </c>
      <c r="E56" s="16">
        <v>2.5</v>
      </c>
      <c r="F56" s="16">
        <v>10.1</v>
      </c>
      <c r="G56" s="16">
        <v>6</v>
      </c>
      <c r="R56" s="14" t="s">
        <v>402</v>
      </c>
      <c r="S56" s="6">
        <v>120</v>
      </c>
      <c r="T56" s="15" t="s">
        <v>359</v>
      </c>
      <c r="U56" s="16">
        <v>77</v>
      </c>
      <c r="V56" s="16">
        <v>14</v>
      </c>
      <c r="W56" s="16">
        <v>2.2000000000000002</v>
      </c>
      <c r="X56" s="16">
        <v>1.3</v>
      </c>
    </row>
    <row r="57" spans="1:24">
      <c r="A57" s="14" t="s">
        <v>403</v>
      </c>
      <c r="B57" s="6">
        <v>130</v>
      </c>
      <c r="C57" s="15" t="s">
        <v>404</v>
      </c>
      <c r="D57" s="16">
        <v>141</v>
      </c>
      <c r="E57" s="16">
        <v>0</v>
      </c>
      <c r="F57" s="16">
        <v>32.4</v>
      </c>
      <c r="G57" s="16">
        <v>1.3</v>
      </c>
      <c r="R57" s="14" t="s">
        <v>405</v>
      </c>
      <c r="S57" s="6">
        <v>110</v>
      </c>
      <c r="T57" s="15" t="s">
        <v>149</v>
      </c>
      <c r="U57" s="16">
        <v>38</v>
      </c>
      <c r="V57" s="16">
        <v>8.1</v>
      </c>
      <c r="W57" s="16">
        <v>1.1000000000000001</v>
      </c>
      <c r="X57" s="16">
        <v>0.11</v>
      </c>
    </row>
    <row r="58" spans="1:24">
      <c r="A58" s="14" t="s">
        <v>406</v>
      </c>
      <c r="B58" s="6">
        <v>130</v>
      </c>
      <c r="C58" s="15" t="s">
        <v>404</v>
      </c>
      <c r="D58" s="16">
        <v>129</v>
      </c>
      <c r="E58" s="16">
        <v>0</v>
      </c>
      <c r="F58" s="16">
        <v>30.6</v>
      </c>
      <c r="G58" s="16">
        <v>0.78</v>
      </c>
      <c r="R58" s="14" t="s">
        <v>407</v>
      </c>
      <c r="S58" s="6">
        <v>160</v>
      </c>
      <c r="T58" s="15" t="s">
        <v>340</v>
      </c>
      <c r="U58" s="16">
        <v>62</v>
      </c>
      <c r="V58" s="16">
        <v>14.7</v>
      </c>
      <c r="W58" s="16">
        <v>0.48</v>
      </c>
      <c r="X58" s="16">
        <v>0.16</v>
      </c>
    </row>
    <row r="59" spans="1:24">
      <c r="A59" s="14" t="s">
        <v>408</v>
      </c>
      <c r="B59" s="6">
        <v>175</v>
      </c>
      <c r="C59" s="15" t="s">
        <v>409</v>
      </c>
      <c r="D59" s="16">
        <v>183</v>
      </c>
      <c r="E59" s="16">
        <v>0</v>
      </c>
      <c r="F59" s="16">
        <v>43</v>
      </c>
      <c r="G59" s="16">
        <v>1.4</v>
      </c>
      <c r="R59" s="14" t="s">
        <v>410</v>
      </c>
      <c r="S59" s="6">
        <v>80</v>
      </c>
      <c r="T59" s="15" t="s">
        <v>411</v>
      </c>
      <c r="U59" s="16">
        <v>34.4</v>
      </c>
      <c r="V59" s="16">
        <v>7.9</v>
      </c>
      <c r="W59" s="16">
        <v>0.32</v>
      </c>
      <c r="X59" s="16">
        <v>0.16</v>
      </c>
    </row>
    <row r="60" spans="1:24">
      <c r="A60" s="14" t="s">
        <v>412</v>
      </c>
      <c r="B60" s="6">
        <v>100</v>
      </c>
      <c r="C60" s="15" t="s">
        <v>413</v>
      </c>
      <c r="D60" s="16">
        <v>114</v>
      </c>
      <c r="E60" s="16">
        <v>0</v>
      </c>
      <c r="F60" s="16">
        <v>24.1</v>
      </c>
      <c r="G60" s="16">
        <v>2</v>
      </c>
      <c r="R60" s="14" t="s">
        <v>414</v>
      </c>
      <c r="S60" s="6">
        <v>67</v>
      </c>
      <c r="T60" s="15" t="s">
        <v>415</v>
      </c>
      <c r="U60" s="16">
        <v>167</v>
      </c>
      <c r="V60" s="16">
        <v>33.700000000000003</v>
      </c>
      <c r="W60" s="16">
        <v>6.1</v>
      </c>
      <c r="X60" s="16">
        <v>0.87</v>
      </c>
    </row>
    <row r="61" spans="1:24">
      <c r="A61" s="14" t="s">
        <v>416</v>
      </c>
      <c r="B61" s="6">
        <v>100</v>
      </c>
      <c r="C61" s="15" t="s">
        <v>413</v>
      </c>
      <c r="D61" s="16">
        <v>130</v>
      </c>
      <c r="E61" s="16">
        <v>0</v>
      </c>
      <c r="F61" s="16">
        <v>23.6</v>
      </c>
      <c r="G61" s="16">
        <v>4</v>
      </c>
      <c r="R61" s="14" t="s">
        <v>417</v>
      </c>
      <c r="S61" s="6">
        <v>67</v>
      </c>
      <c r="T61" s="15" t="s">
        <v>415</v>
      </c>
      <c r="U61" s="16">
        <v>173</v>
      </c>
      <c r="V61" s="16">
        <v>35.4</v>
      </c>
      <c r="W61" s="16">
        <v>6.2</v>
      </c>
      <c r="X61" s="16">
        <v>0.8</v>
      </c>
    </row>
    <row r="62" spans="1:24">
      <c r="A62" s="14" t="s">
        <v>418</v>
      </c>
      <c r="B62" s="6">
        <v>100</v>
      </c>
      <c r="C62" s="15" t="s">
        <v>413</v>
      </c>
      <c r="D62" s="16">
        <v>155</v>
      </c>
      <c r="E62" s="16">
        <v>0</v>
      </c>
      <c r="F62" s="16">
        <v>22.9</v>
      </c>
      <c r="G62" s="16">
        <v>7</v>
      </c>
      <c r="R62" s="14" t="s">
        <v>419</v>
      </c>
      <c r="S62" s="6">
        <v>70</v>
      </c>
      <c r="T62" s="15" t="s">
        <v>149</v>
      </c>
      <c r="U62" s="16">
        <v>26.7</v>
      </c>
      <c r="V62" s="16">
        <v>6.1</v>
      </c>
      <c r="W62" s="16">
        <v>0.42</v>
      </c>
      <c r="X62" s="16">
        <v>7.0000000000000007E-2</v>
      </c>
    </row>
    <row r="63" spans="1:24">
      <c r="A63" s="14" t="s">
        <v>420</v>
      </c>
      <c r="B63" s="6">
        <v>40</v>
      </c>
      <c r="C63" s="15" t="s">
        <v>140</v>
      </c>
      <c r="D63" s="16">
        <v>46</v>
      </c>
      <c r="E63" s="16">
        <v>0.48</v>
      </c>
      <c r="F63" s="16">
        <v>9.1999999999999993</v>
      </c>
      <c r="G63" s="16">
        <v>0.76</v>
      </c>
      <c r="R63" s="14" t="s">
        <v>421</v>
      </c>
      <c r="S63" s="6">
        <v>42</v>
      </c>
      <c r="T63" s="15" t="s">
        <v>155</v>
      </c>
      <c r="U63" s="16">
        <v>27.9</v>
      </c>
      <c r="V63" s="16">
        <v>6.2</v>
      </c>
      <c r="W63" s="16">
        <v>0.71</v>
      </c>
      <c r="X63" s="16">
        <v>0.04</v>
      </c>
    </row>
    <row r="64" spans="1:24">
      <c r="A64" s="14" t="s">
        <v>422</v>
      </c>
      <c r="B64" s="6">
        <v>78</v>
      </c>
      <c r="C64" s="15" t="s">
        <v>423</v>
      </c>
      <c r="D64" s="16">
        <v>80</v>
      </c>
      <c r="E64" s="16">
        <v>0</v>
      </c>
      <c r="F64" s="16">
        <v>17.3</v>
      </c>
      <c r="G64" s="16">
        <v>1.2</v>
      </c>
      <c r="R64" s="14" t="s">
        <v>424</v>
      </c>
      <c r="S64" s="6">
        <v>213</v>
      </c>
      <c r="T64" s="15" t="s">
        <v>425</v>
      </c>
      <c r="U64" s="16">
        <v>171</v>
      </c>
      <c r="V64" s="16">
        <v>38.1</v>
      </c>
      <c r="W64" s="16">
        <v>4</v>
      </c>
      <c r="X64" s="16">
        <v>0.21</v>
      </c>
    </row>
    <row r="65" spans="1:24">
      <c r="A65" s="14" t="s">
        <v>426</v>
      </c>
      <c r="B65" s="6">
        <v>30</v>
      </c>
      <c r="C65" s="15" t="s">
        <v>427</v>
      </c>
      <c r="D65" s="16">
        <v>114</v>
      </c>
      <c r="E65" s="16">
        <v>0.42</v>
      </c>
      <c r="F65" s="16">
        <v>27</v>
      </c>
      <c r="G65" s="16">
        <v>0.45</v>
      </c>
      <c r="R65" s="14" t="s">
        <v>428</v>
      </c>
      <c r="S65" s="6">
        <v>33</v>
      </c>
      <c r="T65" s="15" t="s">
        <v>429</v>
      </c>
      <c r="U65" s="16">
        <v>155</v>
      </c>
      <c r="V65" s="16">
        <v>18.7</v>
      </c>
      <c r="W65" s="16">
        <v>2.1</v>
      </c>
      <c r="X65" s="16">
        <v>8</v>
      </c>
    </row>
    <row r="66" spans="1:24">
      <c r="A66" s="14" t="s">
        <v>430</v>
      </c>
      <c r="B66" s="6">
        <v>125</v>
      </c>
      <c r="C66" s="15" t="s">
        <v>363</v>
      </c>
      <c r="D66" s="16">
        <v>72</v>
      </c>
      <c r="E66" s="16">
        <v>4.9000000000000004</v>
      </c>
      <c r="F66" s="16">
        <v>13.2</v>
      </c>
      <c r="G66" s="16">
        <v>0</v>
      </c>
      <c r="R66" s="14" t="s">
        <v>431</v>
      </c>
      <c r="S66" s="6">
        <v>18</v>
      </c>
      <c r="T66" s="15" t="s">
        <v>140</v>
      </c>
      <c r="U66" s="16">
        <v>63</v>
      </c>
      <c r="V66" s="16">
        <v>13</v>
      </c>
      <c r="W66" s="16">
        <v>1.3</v>
      </c>
      <c r="X66" s="16">
        <v>0.61</v>
      </c>
    </row>
    <row r="67" spans="1:24">
      <c r="A67" s="14" t="s">
        <v>432</v>
      </c>
      <c r="B67" s="6">
        <v>125</v>
      </c>
      <c r="C67" s="15" t="s">
        <v>363</v>
      </c>
      <c r="D67" s="16">
        <v>166</v>
      </c>
      <c r="E67" s="16">
        <v>5.8</v>
      </c>
      <c r="F67" s="16">
        <v>7.1</v>
      </c>
      <c r="G67" s="16">
        <v>12.8</v>
      </c>
      <c r="R67" s="14" t="s">
        <v>433</v>
      </c>
      <c r="S67" s="6">
        <v>28</v>
      </c>
      <c r="T67" s="15" t="s">
        <v>434</v>
      </c>
      <c r="U67" s="16">
        <v>112</v>
      </c>
      <c r="V67" s="16">
        <v>20.100000000000001</v>
      </c>
      <c r="W67" s="16">
        <v>0.84</v>
      </c>
      <c r="X67" s="16">
        <v>3.1</v>
      </c>
    </row>
    <row r="68" spans="1:24">
      <c r="R68" s="14" t="s">
        <v>435</v>
      </c>
      <c r="S68" s="6">
        <v>22</v>
      </c>
      <c r="T68" s="15" t="s">
        <v>436</v>
      </c>
      <c r="U68" s="16">
        <v>73</v>
      </c>
      <c r="V68" s="16">
        <v>12.3</v>
      </c>
      <c r="W68" s="16">
        <v>2.5</v>
      </c>
      <c r="X68" s="16">
        <v>1.6</v>
      </c>
    </row>
    <row r="69" spans="1:24">
      <c r="R69" s="14" t="s">
        <v>437</v>
      </c>
      <c r="S69" s="6">
        <v>42</v>
      </c>
      <c r="T69" s="15" t="s">
        <v>438</v>
      </c>
      <c r="U69" s="16">
        <v>104</v>
      </c>
      <c r="V69" s="16">
        <v>19.399999999999999</v>
      </c>
      <c r="W69" s="16">
        <v>4.2</v>
      </c>
      <c r="X69" s="16">
        <v>1.1000000000000001</v>
      </c>
    </row>
    <row r="70" spans="1:24">
      <c r="R70" s="14" t="s">
        <v>439</v>
      </c>
      <c r="S70" s="6">
        <v>44</v>
      </c>
      <c r="T70" s="15" t="s">
        <v>440</v>
      </c>
      <c r="U70" s="16">
        <v>143</v>
      </c>
      <c r="V70" s="16">
        <v>28.5</v>
      </c>
      <c r="W70" s="16">
        <v>4.8</v>
      </c>
      <c r="X70" s="16">
        <v>1.1000000000000001</v>
      </c>
    </row>
    <row r="71" spans="1:24">
      <c r="R71" s="14" t="s">
        <v>441</v>
      </c>
      <c r="S71" s="6">
        <v>70</v>
      </c>
      <c r="T71" s="15" t="s">
        <v>436</v>
      </c>
      <c r="U71" s="16">
        <v>206</v>
      </c>
      <c r="V71" s="16">
        <v>42</v>
      </c>
      <c r="W71" s="16">
        <v>5.5</v>
      </c>
      <c r="X71" s="16">
        <v>1.6</v>
      </c>
    </row>
    <row r="72" spans="1:24">
      <c r="R72" s="14" t="s">
        <v>442</v>
      </c>
      <c r="S72" s="6">
        <v>160</v>
      </c>
      <c r="T72" s="15" t="s">
        <v>443</v>
      </c>
      <c r="U72" s="16">
        <v>50</v>
      </c>
      <c r="V72" s="16">
        <v>9.8000000000000007</v>
      </c>
      <c r="W72" s="16">
        <v>0.96</v>
      </c>
      <c r="X72" s="16">
        <v>0.8</v>
      </c>
    </row>
    <row r="73" spans="1:24">
      <c r="R73" s="14" t="s">
        <v>444</v>
      </c>
      <c r="S73" s="6">
        <v>38</v>
      </c>
      <c r="T73" s="15" t="s">
        <v>140</v>
      </c>
      <c r="U73" s="16">
        <v>126</v>
      </c>
      <c r="V73" s="16">
        <v>23.3</v>
      </c>
      <c r="W73" s="16">
        <v>3.8</v>
      </c>
      <c r="X73" s="16">
        <v>2</v>
      </c>
    </row>
    <row r="74" spans="1:24">
      <c r="R74" s="14" t="s">
        <v>445</v>
      </c>
      <c r="S74" s="6">
        <v>238</v>
      </c>
      <c r="T74" s="15" t="s">
        <v>446</v>
      </c>
      <c r="U74" s="16">
        <v>205</v>
      </c>
      <c r="V74" s="16">
        <v>47</v>
      </c>
      <c r="W74" s="16">
        <v>2.9</v>
      </c>
      <c r="X74" s="16">
        <v>0.71</v>
      </c>
    </row>
    <row r="75" spans="1:24">
      <c r="R75" s="14" t="s">
        <v>447</v>
      </c>
      <c r="S75" s="6">
        <v>67</v>
      </c>
      <c r="T75" s="15" t="s">
        <v>140</v>
      </c>
      <c r="U75" s="16">
        <v>187</v>
      </c>
      <c r="V75" s="16">
        <v>32.9</v>
      </c>
      <c r="W75" s="16">
        <v>5.2</v>
      </c>
      <c r="X75" s="16">
        <v>3.8</v>
      </c>
    </row>
    <row r="76" spans="1:24">
      <c r="R76" s="14" t="s">
        <v>448</v>
      </c>
      <c r="S76" s="6">
        <v>122</v>
      </c>
      <c r="T76" s="15" t="s">
        <v>340</v>
      </c>
      <c r="U76" s="16">
        <v>30.6</v>
      </c>
      <c r="V76" s="16">
        <v>5.7</v>
      </c>
      <c r="W76" s="16">
        <v>1.1000000000000001</v>
      </c>
      <c r="X76" s="16">
        <v>0.37</v>
      </c>
    </row>
    <row r="77" spans="1:24">
      <c r="R77" s="14" t="s">
        <v>449</v>
      </c>
      <c r="S77" s="6">
        <v>14</v>
      </c>
      <c r="T77" s="15" t="s">
        <v>450</v>
      </c>
      <c r="U77" s="16">
        <v>60</v>
      </c>
      <c r="V77" s="16">
        <v>9.6999999999999993</v>
      </c>
      <c r="W77" s="16">
        <v>1.5</v>
      </c>
      <c r="X77" s="16">
        <v>1.8</v>
      </c>
    </row>
    <row r="78" spans="1:24">
      <c r="R78" s="14" t="s">
        <v>451</v>
      </c>
      <c r="S78" s="6">
        <v>40</v>
      </c>
      <c r="T78" s="15" t="s">
        <v>452</v>
      </c>
      <c r="U78" s="16">
        <v>130</v>
      </c>
      <c r="V78" s="16">
        <v>26.5</v>
      </c>
      <c r="W78" s="16">
        <v>4.2</v>
      </c>
      <c r="X78" s="16">
        <v>0.76</v>
      </c>
    </row>
    <row r="79" spans="1:24">
      <c r="R79" s="14" t="s">
        <v>453</v>
      </c>
      <c r="S79" s="6">
        <v>100</v>
      </c>
      <c r="U79" s="16">
        <v>112</v>
      </c>
      <c r="V79" s="16">
        <v>25.7</v>
      </c>
      <c r="W79" s="16">
        <v>1.5</v>
      </c>
      <c r="X79" s="16">
        <v>0.3</v>
      </c>
    </row>
    <row r="80" spans="1:24">
      <c r="R80" s="14" t="s">
        <v>454</v>
      </c>
      <c r="S80" s="6">
        <v>46</v>
      </c>
      <c r="T80" s="15" t="s">
        <v>140</v>
      </c>
      <c r="U80" s="16">
        <v>87</v>
      </c>
      <c r="V80" s="16">
        <v>10.9</v>
      </c>
      <c r="W80" s="16">
        <v>3.1</v>
      </c>
      <c r="X80" s="16">
        <v>3.4</v>
      </c>
    </row>
    <row r="95" ht="18" customHeight="1"/>
    <row r="98" spans="10:10">
      <c r="J98" s="14"/>
    </row>
    <row r="100" spans="10:10">
      <c r="J100" s="14"/>
    </row>
  </sheetData>
  <mergeCells count="5">
    <mergeCell ref="A1:G1"/>
    <mergeCell ref="I1:O1"/>
    <mergeCell ref="R1:X1"/>
    <mergeCell ref="Z1:AF1"/>
    <mergeCell ref="AH1:A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a754d229f0057affa62b555f2ac55d44">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c067517bd06b16cb9c9e315ad40fb255"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Status xmlns="71af3243-3dd4-4a8d-8c0d-dd76da1f02a5">Not started</Status>
  </documentManagement>
</p:properties>
</file>

<file path=customXml/itemProps1.xml><?xml version="1.0" encoding="utf-8"?>
<ds:datastoreItem xmlns:ds="http://schemas.openxmlformats.org/officeDocument/2006/customXml" ds:itemID="{3C43573A-6225-41CC-9387-2172C5BE49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2BA575-B720-47A2-8DBB-E6F83249DCD7}">
  <ds:schemaRefs>
    <ds:schemaRef ds:uri="http://schemas.microsoft.com/sharepoint/v3/contenttype/forms"/>
  </ds:schemaRefs>
</ds:datastoreItem>
</file>

<file path=customXml/itemProps3.xml><?xml version="1.0" encoding="utf-8"?>
<ds:datastoreItem xmlns:ds="http://schemas.openxmlformats.org/officeDocument/2006/customXml" ds:itemID="{55EC2C68-DDBE-4CEA-B267-5802E87CBD15}">
  <ds:schemaRefs>
    <ds:schemaRef ds:uri="http://purl.org/dc/terms/"/>
    <ds:schemaRef ds:uri="http://schemas.openxmlformats.org/package/2006/metadata/core-properties"/>
    <ds:schemaRef ds:uri="16c05727-aa75-4e4a-9b5f-8a80a1165891"/>
    <ds:schemaRef ds:uri="http://schemas.microsoft.com/office/2006/documentManagement/types"/>
    <ds:schemaRef ds:uri="http://schemas.microsoft.com/office/infopath/2007/PartnerControls"/>
    <ds:schemaRef ds:uri="http://purl.org/dc/elements/1.1/"/>
    <ds:schemaRef ds:uri="http://schemas.microsoft.com/office/2006/metadata/properties"/>
    <ds:schemaRef ds:uri="71af3243-3dd4-4a8d-8c0d-dd76da1f02a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Test Results</vt:lpstr>
      <vt:lpstr>Sheet1</vt:lpstr>
      <vt:lpstr>Profile</vt:lpstr>
      <vt:lpstr>Fuelling</vt:lpstr>
      <vt:lpstr>Meal Builder</vt:lpstr>
      <vt:lpstr>Servings</vt:lpstr>
      <vt:lpstr>max_g</vt:lpstr>
      <vt:lpstr>min_g</vt:lpstr>
      <vt:lpstr>Profile!Print_Area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2020-10-29T11:50:25Z</cp:lastPrinted>
  <dcterms:created xsi:type="dcterms:W3CDTF">2019-06-20T15:09:05Z</dcterms:created>
  <dcterms:modified xsi:type="dcterms:W3CDTF">2020-12-17T05:51:54Z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