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ROUND 27-02-2025" sheetId="1" r:id="rId1"/>
    <sheet name="DOSSIERS 27-02-2025" sheetId="2" r:id="rId2"/>
    <sheet name="FANCY_SHAPE 27-02-2025" sheetId="3" r:id="rId3"/>
  </sheets>
  <definedNames>
    <definedName name="_xlnm._FilterDatabase" localSheetId="0" hidden="1">'ROUND 27-02-2025'!$A$1:$AU$41</definedName>
    <definedName name="_xlnm._FilterDatabase" localSheetId="1" hidden="1">'DOSSIERS 27-02-2025'!$A$9:$AU$43</definedName>
    <definedName name="_xlnm._FilterDatabase" localSheetId="2" hidden="1">'FANCY_SHAPE 27-02-2025'!$A$9:$AU$13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<sst xmlns="http://schemas.openxmlformats.org/spreadsheetml/2006/main" count="2255" uniqueCount="163">
  <si>
    <t>Sr. No</t>
  </si>
  <si>
    <t>WeightGroup</t>
  </si>
  <si>
    <t>StoneID</t>
  </si>
  <si>
    <t>Carat</t>
  </si>
  <si>
    <t>Shape</t>
  </si>
  <si>
    <t>Color</t>
  </si>
  <si>
    <t>Clarity</t>
  </si>
  <si>
    <t>Cut</t>
  </si>
  <si>
    <t>Polish</t>
  </si>
  <si>
    <t>Symmetry</t>
  </si>
  <si>
    <t>Lab</t>
  </si>
  <si>
    <t>Image</t>
  </si>
  <si>
    <t>Video</t>
  </si>
  <si>
    <t>Certificate</t>
  </si>
  <si>
    <t>Rap$</t>
  </si>
  <si>
    <t>Disc%</t>
  </si>
  <si>
    <t>Final$/cts</t>
  </si>
  <si>
    <t>Final$/pcs</t>
  </si>
  <si>
    <t>Fluorescence</t>
  </si>
  <si>
    <t>Location</t>
  </si>
  <si>
    <t>Hue</t>
  </si>
  <si>
    <t>Milky</t>
  </si>
  <si>
    <t>Cavity</t>
  </si>
  <si>
    <t>EyeClean</t>
  </si>
  <si>
    <t>BIT</t>
  </si>
  <si>
    <t>BIC</t>
  </si>
  <si>
    <t>BOC</t>
  </si>
  <si>
    <t>WIT</t>
  </si>
  <si>
    <t>WIC</t>
  </si>
  <si>
    <t>WOC</t>
  </si>
  <si>
    <t>Keytosymbols</t>
  </si>
  <si>
    <t>Ratio</t>
  </si>
  <si>
    <t>Length</t>
  </si>
  <si>
    <t>Width</t>
  </si>
  <si>
    <t>Depth</t>
  </si>
  <si>
    <t>Girdle%</t>
  </si>
  <si>
    <t>Table%</t>
  </si>
  <si>
    <t>Depth%</t>
  </si>
  <si>
    <t>CrnAng</t>
  </si>
  <si>
    <t>CrnHt</t>
  </si>
  <si>
    <t>PavAng</t>
  </si>
  <si>
    <t>PavHt</t>
  </si>
  <si>
    <t>StrLen</t>
  </si>
  <si>
    <t>GirdleCon</t>
  </si>
  <si>
    <t>FancyColor</t>
  </si>
  <si>
    <t>Tracr ID</t>
  </si>
  <si>
    <t>EverLedger</t>
  </si>
  <si>
    <t>2.00 - 2.49</t>
  </si>
  <si>
    <t>RS15786</t>
  </si>
  <si>
    <t>RBC</t>
  </si>
  <si>
    <t>J</t>
  </si>
  <si>
    <t>SI1</t>
  </si>
  <si>
    <t>EX</t>
  </si>
  <si>
    <t>GIA</t>
  </si>
  <si>
    <t>FNT</t>
  </si>
  <si>
    <t>INDIA</t>
  </si>
  <si>
    <t>WH</t>
  </si>
  <si>
    <t>NO</t>
  </si>
  <si>
    <t>NON</t>
  </si>
  <si>
    <t>BIT1</t>
  </si>
  <si>
    <t>BIC1</t>
  </si>
  <si>
    <t>--</t>
  </si>
  <si>
    <t>WIT0</t>
  </si>
  <si>
    <t>WIC0</t>
  </si>
  <si>
    <t>WOC1</t>
  </si>
  <si>
    <t>Twinning Wisp, Crystal, Cloud, Feather, Needle</t>
  </si>
  <si>
    <t>50</t>
  </si>
  <si>
    <t>Faceted</t>
  </si>
  <si>
    <t/>
  </si>
  <si>
    <t>1.20 - 1.49</t>
  </si>
  <si>
    <t>FMS08462</t>
  </si>
  <si>
    <t>D</t>
  </si>
  <si>
    <t>VS2</t>
  </si>
  <si>
    <t>YES</t>
  </si>
  <si>
    <t>BIC0</t>
  </si>
  <si>
    <t>Crystal, Cloud, Needle</t>
  </si>
  <si>
    <t>0.70 - 0.79</t>
  </si>
  <si>
    <t>RS14657</t>
  </si>
  <si>
    <t>G</t>
  </si>
  <si>
    <t>VG</t>
  </si>
  <si>
    <t>BIT0</t>
  </si>
  <si>
    <t>BOC1</t>
  </si>
  <si>
    <t>WOC0</t>
  </si>
  <si>
    <t>Crystal</t>
  </si>
  <si>
    <t>0.60 - 0.69</t>
  </si>
  <si>
    <t>RS22386</t>
  </si>
  <si>
    <t>SI2</t>
  </si>
  <si>
    <t>BOC0</t>
  </si>
  <si>
    <t>WIC1</t>
  </si>
  <si>
    <t>Twinning Wisp, Feather, Crystal</t>
  </si>
  <si>
    <t>0.50 - 0.59</t>
  </si>
  <si>
    <t>AM28046</t>
  </si>
  <si>
    <t>F</t>
  </si>
  <si>
    <t>WIT1</t>
  </si>
  <si>
    <t>Cloud, Crystal</t>
  </si>
  <si>
    <t>AM28592</t>
  </si>
  <si>
    <t>Crystal, Feather, Twinning Wisp</t>
  </si>
  <si>
    <t>FMS07005</t>
  </si>
  <si>
    <t>WOC2</t>
  </si>
  <si>
    <t>Feather, Twinning Wisp, Cloud</t>
  </si>
  <si>
    <t>RS21860</t>
  </si>
  <si>
    <t>Twinning Wisp, Feather</t>
  </si>
  <si>
    <t>45</t>
  </si>
  <si>
    <t>0.40 - 0.49</t>
  </si>
  <si>
    <t>RS06711</t>
  </si>
  <si>
    <t>RS16776</t>
  </si>
  <si>
    <t>Cloud, Twinning Wisp</t>
  </si>
  <si>
    <t>AM30558</t>
  </si>
  <si>
    <t>I</t>
  </si>
  <si>
    <t>Feather, Etch Channel, Crystal, Cloud</t>
  </si>
  <si>
    <t>0</t>
  </si>
  <si>
    <t>0.30 - 0.39</t>
  </si>
  <si>
    <t>RM18771</t>
  </si>
  <si>
    <t>E</t>
  </si>
  <si>
    <t>Twinning Wisp</t>
  </si>
  <si>
    <t>AM28008</t>
  </si>
  <si>
    <t>Crystal, Cloud, Feather</t>
  </si>
  <si>
    <t>AM29749</t>
  </si>
  <si>
    <t>Crystal, Cloud</t>
  </si>
  <si>
    <t>RS19062</t>
  </si>
  <si>
    <t>AM30901</t>
  </si>
  <si>
    <t>AM26380</t>
  </si>
  <si>
    <t>Crystal, Feather, Cavity</t>
  </si>
  <si>
    <t>RS19751</t>
  </si>
  <si>
    <t>RS15077</t>
  </si>
  <si>
    <t>RS15114</t>
  </si>
  <si>
    <t>Crystal, Feather</t>
  </si>
  <si>
    <t>AM29248</t>
  </si>
  <si>
    <t>AM30089</t>
  </si>
  <si>
    <t>AM29947</t>
  </si>
  <si>
    <t>Crystal, Cloud, Twinning Wisp</t>
  </si>
  <si>
    <t>AM30990</t>
  </si>
  <si>
    <t>Crystal, Needle, Feather</t>
  </si>
  <si>
    <t>AM28550</t>
  </si>
  <si>
    <t>FMS03681</t>
  </si>
  <si>
    <t>AM30319</t>
  </si>
  <si>
    <t>Knot, Crystal</t>
  </si>
  <si>
    <t>AM26987</t>
  </si>
  <si>
    <t>RS20451</t>
  </si>
  <si>
    <t>FMAM356150</t>
  </si>
  <si>
    <t>R243008</t>
  </si>
  <si>
    <t>AM30263</t>
  </si>
  <si>
    <t>Feather, Twinning Wisp</t>
  </si>
  <si>
    <t>AM29815</t>
  </si>
  <si>
    <t>AM23703</t>
  </si>
  <si>
    <t>AM27617</t>
  </si>
  <si>
    <t>FM771504</t>
  </si>
  <si>
    <t>Cloud, Crystal, Feather</t>
  </si>
  <si>
    <t>RFS02195</t>
  </si>
  <si>
    <t>Oval</t>
  </si>
  <si>
    <t>RFS06532</t>
  </si>
  <si>
    <t>Pear</t>
  </si>
  <si>
    <t>1.00 - 1.19</t>
  </si>
  <si>
    <t>RFS01147</t>
  </si>
  <si>
    <t>Heart</t>
  </si>
  <si>
    <t>H</t>
  </si>
  <si>
    <t>Twinning Wisp, Crystal, Feather</t>
  </si>
  <si>
    <t>FMFS03707</t>
  </si>
  <si>
    <t>Needle, Crystal, Feather, Etch Channel</t>
  </si>
  <si>
    <t>Sheetal Manufacturing Company Pvt. Ltd.</t>
  </si>
  <si>
    <t>CC-3100, C-Wing, Bharat Diamond Bourse,Bandra Kurla Complex, Bandra (E)</t>
  </si>
  <si>
    <t xml:space="preserve">Telephone : + 91-22-6181 5300 / + 91-22-6181 5333 Fax: + 91-22-6181 5353 </t>
  </si>
  <si>
    <t>Email:  reception.mumbai@sheetals.net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</si>
</sst>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,##0.000"/>
  </numFmts>
  <fonts count="26">
    <font>
      <sz val="11"/>
      <name val="Calibri"/>
      <charset val="134"/>
    </font>
    <font>
      <sz val="10"/>
      <name val="Calibri"/>
      <charset val="134"/>
    </font>
    <font>
      <b/>
      <sz val="18"/>
      <color rgb="FF00008B"/>
      <name val="Calibri"/>
      <charset val="134"/>
    </font>
    <font>
      <b/>
      <sz val="10"/>
      <name val="Calibri"/>
      <charset val="134"/>
    </font>
    <font>
      <b/>
      <sz val="10"/>
      <color rgb="FF000000"/>
      <name val="Calibri"/>
      <charset val="134"/>
    </font>
    <font>
      <u/>
      <sz val="10"/>
      <color rgb="FF0000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 applyNumberFormat="1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2" name="pic1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67715" y="270510"/>
          <a:ext cx="1043940" cy="99822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3" name="pic11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904095" y="270510"/>
          <a:ext cx="1024890" cy="998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4" name="pic1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67715" y="270510"/>
          <a:ext cx="1043940" cy="99822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5" name="pic11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766935" y="270510"/>
          <a:ext cx="1024890" cy="99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1"/>
  <sheetViews>
    <sheetView tabSelected="1" workbookViewId="0">
      <pane ySplit="1" topLeftCell="A2" activePane="bottomLeft" state="frozen"/>
      <selection/>
      <selection pane="bottomLeft" activeCell="B14" sqref="B14"/>
    </sheetView>
  </sheetViews>
  <sheetFormatPr defaultColWidth="9.11111111111111" defaultRowHeight="13.8"/>
  <cols>
    <col min="1" max="1" width="9.11111111111111" style="1" customWidth="1"/>
    <col min="2" max="2" width="14.6666666666667" style="1" customWidth="1"/>
    <col min="3" max="3" width="10.1111111111111" style="1" customWidth="1"/>
    <col min="4" max="9" width="9.11111111111111" style="1" customWidth="1"/>
    <col min="10" max="10" width="11.8888888888889" style="1" customWidth="1"/>
    <col min="11" max="13" width="9.11111111111111" style="1" customWidth="1"/>
    <col min="14" max="14" width="12" style="1" customWidth="1"/>
    <col min="15" max="16" width="9.11111111111111" style="1" customWidth="1"/>
    <col min="17" max="17" width="11.5555555555556" style="1" customWidth="1"/>
    <col min="18" max="18" width="12" style="1" customWidth="1"/>
    <col min="19" max="19" width="14.2222222222222" style="1" customWidth="1"/>
    <col min="20" max="20" width="10.5555555555556" style="1" customWidth="1"/>
    <col min="21" max="23" width="9.11111111111111" style="1" customWidth="1"/>
    <col min="24" max="24" width="11" style="1" customWidth="1"/>
    <col min="25" max="30" width="9.11111111111111" style="1" customWidth="1"/>
    <col min="31" max="31" width="38.6666666666667" style="1" customWidth="1"/>
    <col min="32" max="35" width="9.11111111111111" style="1" customWidth="1"/>
    <col min="36" max="36" width="10" style="1" customWidth="1"/>
    <col min="37" max="37" width="9.44444444444444" style="1" customWidth="1"/>
    <col min="38" max="38" width="10" style="1" customWidth="1"/>
    <col min="39" max="39" width="9.55555555555556" style="1" customWidth="1"/>
    <col min="40" max="40" width="9.11111111111111" style="1" customWidth="1"/>
    <col min="41" max="41" width="9.66666666666667" style="1" customWidth="1"/>
    <col min="42" max="43" width="9.11111111111111" style="1" customWidth="1"/>
    <col min="44" max="44" width="11.6666666666667" style="1" customWidth="1"/>
    <col min="45" max="45" width="12.5555555555556" style="1" customWidth="1"/>
    <col min="46" max="46" width="10" style="1" customWidth="1"/>
    <col min="47" max="47" width="12.6666666666667" style="1" customWidth="1"/>
    <col min="48" max="48" width="9.11111111111111" style="1" customWidth="1"/>
    <col min="49" max="16384" width="9.11111111111111" style="1"/>
  </cols>
  <sheetData>
    <row r="1" spans="1:4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</row>
    <row r="2" spans="1:47">
      <c r="A2" s="1">
        <v>1</v>
      </c>
      <c r="B2" s="1" t="s">
        <v>47</v>
      </c>
      <c r="C2" s="1" t="s">
        <v>48</v>
      </c>
      <c r="D2" s="6">
        <v>2.03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52</v>
      </c>
      <c r="J2" s="1" t="s">
        <v>52</v>
      </c>
      <c r="K2" s="1" t="s">
        <v>53</v>
      </c>
      <c r="L2" s="8" t="str">
        <f>HYPERLINK("https://www.sheetal.co/Details/StoneDetails/?stoneno=RS15786","YES")</f>
        <v>YES</v>
      </c>
      <c r="M2" s="8" t="str">
        <f>HYPERLINK("https://www.sheetal.co/Details/StoneDetails/?stoneno=RS15786","YES")</f>
        <v>YES</v>
      </c>
      <c r="N2" s="8" t="str">
        <f>HYPERLINK("https://www.sheetal.co/certificate/1503800976.pdf","1503800976")</f>
        <v>1503800976</v>
      </c>
      <c r="O2" s="6">
        <v>6900</v>
      </c>
      <c r="P2" s="6">
        <v>-56.15</v>
      </c>
      <c r="Q2" s="9">
        <v>3025.65</v>
      </c>
      <c r="R2" s="6">
        <v>6142.07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57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>
        <v>1.01</v>
      </c>
      <c r="AG2" s="1">
        <v>8.14</v>
      </c>
      <c r="AH2" s="1">
        <v>8.09</v>
      </c>
      <c r="AI2" s="1">
        <v>4.95</v>
      </c>
      <c r="AJ2" s="1">
        <v>4</v>
      </c>
      <c r="AK2" s="1">
        <v>59</v>
      </c>
      <c r="AL2" s="1">
        <v>60.9</v>
      </c>
      <c r="AM2" s="1">
        <v>34.5</v>
      </c>
      <c r="AN2" s="1">
        <v>14</v>
      </c>
      <c r="AO2" s="1">
        <v>40.6</v>
      </c>
      <c r="AP2" s="1">
        <v>43</v>
      </c>
      <c r="AQ2" s="1" t="s">
        <v>66</v>
      </c>
      <c r="AR2" s="1" t="s">
        <v>67</v>
      </c>
      <c r="AS2" s="1" t="s">
        <v>57</v>
      </c>
      <c r="AT2" s="1" t="s">
        <v>68</v>
      </c>
      <c r="AU2" s="1" t="s">
        <v>57</v>
      </c>
    </row>
    <row r="3" spans="1:47">
      <c r="A3" s="1">
        <v>2</v>
      </c>
      <c r="B3" s="1" t="s">
        <v>69</v>
      </c>
      <c r="C3" s="1" t="s">
        <v>70</v>
      </c>
      <c r="D3" s="6">
        <v>1.22</v>
      </c>
      <c r="E3" s="1" t="s">
        <v>49</v>
      </c>
      <c r="F3" s="1" t="s">
        <v>71</v>
      </c>
      <c r="G3" s="1" t="s">
        <v>72</v>
      </c>
      <c r="H3" s="1" t="s">
        <v>52</v>
      </c>
      <c r="I3" s="1" t="s">
        <v>52</v>
      </c>
      <c r="J3" s="1" t="s">
        <v>52</v>
      </c>
      <c r="K3" s="1" t="s">
        <v>53</v>
      </c>
      <c r="L3" s="8" t="str">
        <f>HYPERLINK("https://www.sheetal.co/Details/StoneDetails/?stoneno=FMS08462","YES")</f>
        <v>YES</v>
      </c>
      <c r="M3" s="8" t="str">
        <f>HYPERLINK("https://www.sheetal.co/Details/StoneDetails/?stoneno=FMS08462","YES")</f>
        <v>YES</v>
      </c>
      <c r="N3" s="8" t="str">
        <f>HYPERLINK("https://www.sheetal.co/certificate/6515329052.pdf","6515329052")</f>
        <v>6515329052</v>
      </c>
      <c r="O3" s="6">
        <v>7300</v>
      </c>
      <c r="P3" s="6">
        <v>-39.1</v>
      </c>
      <c r="Q3" s="9">
        <v>4445.7</v>
      </c>
      <c r="R3" s="6">
        <v>5423.75</v>
      </c>
      <c r="S3" s="1" t="s">
        <v>58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73</v>
      </c>
      <c r="Y3" s="1" t="s">
        <v>59</v>
      </c>
      <c r="Z3" s="1" t="s">
        <v>74</v>
      </c>
      <c r="AA3" s="1" t="s">
        <v>61</v>
      </c>
      <c r="AB3" s="1" t="s">
        <v>62</v>
      </c>
      <c r="AC3" s="1" t="s">
        <v>61</v>
      </c>
      <c r="AD3" s="1" t="s">
        <v>61</v>
      </c>
      <c r="AE3" s="1" t="s">
        <v>75</v>
      </c>
      <c r="AF3" s="1">
        <v>1.01</v>
      </c>
      <c r="AG3" s="1">
        <v>6.84</v>
      </c>
      <c r="AH3" s="1">
        <v>6.8</v>
      </c>
      <c r="AI3" s="1">
        <v>4.22</v>
      </c>
      <c r="AJ3" s="1">
        <v>4</v>
      </c>
      <c r="AK3" s="1">
        <v>58</v>
      </c>
      <c r="AL3" s="1">
        <v>61.9</v>
      </c>
      <c r="AM3" s="1">
        <v>35.5</v>
      </c>
      <c r="AN3" s="1">
        <v>15</v>
      </c>
      <c r="AO3" s="1">
        <v>40.6</v>
      </c>
      <c r="AP3" s="1">
        <v>43</v>
      </c>
      <c r="AQ3" s="1" t="s">
        <v>66</v>
      </c>
      <c r="AR3" s="1" t="s">
        <v>67</v>
      </c>
      <c r="AS3" s="1" t="s">
        <v>57</v>
      </c>
      <c r="AT3" s="1" t="s">
        <v>68</v>
      </c>
      <c r="AU3" s="1" t="s">
        <v>57</v>
      </c>
    </row>
    <row r="4" spans="1:47">
      <c r="A4" s="1">
        <v>1</v>
      </c>
      <c r="B4" s="1" t="s">
        <v>76</v>
      </c>
      <c r="C4" s="1" t="s">
        <v>77</v>
      </c>
      <c r="D4" s="6">
        <v>0.7</v>
      </c>
      <c r="E4" s="1" t="s">
        <v>49</v>
      </c>
      <c r="F4" s="1" t="s">
        <v>78</v>
      </c>
      <c r="G4" s="1" t="s">
        <v>51</v>
      </c>
      <c r="H4" s="1" t="s">
        <v>79</v>
      </c>
      <c r="I4" s="1" t="s">
        <v>52</v>
      </c>
      <c r="J4" s="1" t="s">
        <v>52</v>
      </c>
      <c r="K4" s="1" t="s">
        <v>53</v>
      </c>
      <c r="L4" s="8" t="str">
        <f>HYPERLINK("https://www.sheetal.co/Details/StoneDetails/?stoneno=RS14657","YES")</f>
        <v>YES</v>
      </c>
      <c r="M4" s="8" t="str">
        <f>HYPERLINK("https://www.sheetal.co/Details/StoneDetails/?stoneno=RS14657","YES")</f>
        <v>YES</v>
      </c>
      <c r="N4" s="8" t="str">
        <f>HYPERLINK("https://www.sheetal.co/certificate/7503795585.pdf","7503795585")</f>
        <v>7503795585</v>
      </c>
      <c r="O4" s="6">
        <v>2500</v>
      </c>
      <c r="P4" s="6">
        <v>-54.1</v>
      </c>
      <c r="Q4" s="9">
        <v>1147.5</v>
      </c>
      <c r="R4" s="6">
        <v>803.25</v>
      </c>
      <c r="S4" s="1" t="s">
        <v>54</v>
      </c>
      <c r="T4" s="1" t="s">
        <v>55</v>
      </c>
      <c r="U4" s="1" t="s">
        <v>56</v>
      </c>
      <c r="V4" s="1" t="s">
        <v>57</v>
      </c>
      <c r="W4" s="1" t="s">
        <v>58</v>
      </c>
      <c r="X4" s="1" t="s">
        <v>73</v>
      </c>
      <c r="Y4" s="1" t="s">
        <v>80</v>
      </c>
      <c r="Z4" s="1" t="s">
        <v>74</v>
      </c>
      <c r="AA4" s="1" t="s">
        <v>81</v>
      </c>
      <c r="AB4" s="1" t="s">
        <v>61</v>
      </c>
      <c r="AC4" s="1" t="s">
        <v>61</v>
      </c>
      <c r="AD4" s="1" t="s">
        <v>82</v>
      </c>
      <c r="AE4" s="1" t="s">
        <v>83</v>
      </c>
      <c r="AF4" s="1">
        <v>1.01</v>
      </c>
      <c r="AG4" s="1">
        <v>5.59</v>
      </c>
      <c r="AH4" s="1">
        <v>5.55</v>
      </c>
      <c r="AI4" s="1">
        <v>3.54</v>
      </c>
      <c r="AJ4" s="1">
        <v>5</v>
      </c>
      <c r="AK4" s="1">
        <v>58</v>
      </c>
      <c r="AL4" s="1">
        <v>63.6</v>
      </c>
      <c r="AM4" s="1">
        <v>36</v>
      </c>
      <c r="AN4" s="1">
        <v>15</v>
      </c>
      <c r="AO4" s="1">
        <v>41.2</v>
      </c>
      <c r="AP4" s="1">
        <v>43.5</v>
      </c>
      <c r="AQ4" s="1" t="s">
        <v>66</v>
      </c>
      <c r="AR4" s="1" t="s">
        <v>67</v>
      </c>
      <c r="AS4" s="1" t="s">
        <v>57</v>
      </c>
      <c r="AT4" s="1" t="s">
        <v>68</v>
      </c>
      <c r="AU4" s="1" t="s">
        <v>57</v>
      </c>
    </row>
    <row r="5" spans="1:47">
      <c r="A5" s="1">
        <v>2</v>
      </c>
      <c r="B5" s="1" t="s">
        <v>84</v>
      </c>
      <c r="C5" s="1" t="s">
        <v>85</v>
      </c>
      <c r="D5" s="6">
        <v>0.6</v>
      </c>
      <c r="E5" s="1" t="s">
        <v>49</v>
      </c>
      <c r="F5" s="1" t="s">
        <v>50</v>
      </c>
      <c r="G5" s="1" t="s">
        <v>86</v>
      </c>
      <c r="H5" s="1" t="s">
        <v>52</v>
      </c>
      <c r="I5" s="1" t="s">
        <v>79</v>
      </c>
      <c r="J5" s="1" t="s">
        <v>52</v>
      </c>
      <c r="K5" s="1" t="s">
        <v>53</v>
      </c>
      <c r="L5" s="8" t="str">
        <f>HYPERLINK("https://www.sheetal.co/Details/StoneDetails/?stoneno=RS22386","YES")</f>
        <v>YES</v>
      </c>
      <c r="M5" s="8" t="str">
        <f>HYPERLINK("https://www.sheetal.co/Details/StoneDetails/?stoneno=RS22386","YES")</f>
        <v>YES</v>
      </c>
      <c r="N5" s="8" t="str">
        <f>HYPERLINK("https://www.sheetal.co/certificate/6512326055.pdf","6512326055")</f>
        <v>6512326055</v>
      </c>
      <c r="O5" s="6">
        <v>1300</v>
      </c>
      <c r="P5" s="6">
        <v>-41.2</v>
      </c>
      <c r="Q5" s="9">
        <v>764.4</v>
      </c>
      <c r="R5" s="6">
        <v>458.64</v>
      </c>
      <c r="S5" s="1" t="s">
        <v>58</v>
      </c>
      <c r="T5" s="1" t="s">
        <v>55</v>
      </c>
      <c r="U5" s="1" t="s">
        <v>56</v>
      </c>
      <c r="V5" s="1" t="s">
        <v>57</v>
      </c>
      <c r="W5" s="1" t="s">
        <v>58</v>
      </c>
      <c r="X5" s="1" t="s">
        <v>57</v>
      </c>
      <c r="Y5" s="1" t="s">
        <v>80</v>
      </c>
      <c r="Z5" s="1" t="s">
        <v>74</v>
      </c>
      <c r="AA5" s="1" t="s">
        <v>87</v>
      </c>
      <c r="AB5" s="1" t="s">
        <v>62</v>
      </c>
      <c r="AC5" s="1" t="s">
        <v>88</v>
      </c>
      <c r="AD5" s="1" t="s">
        <v>64</v>
      </c>
      <c r="AE5" s="1" t="s">
        <v>89</v>
      </c>
      <c r="AF5" s="1">
        <v>1.01</v>
      </c>
      <c r="AG5" s="1">
        <v>5.39</v>
      </c>
      <c r="AH5" s="1">
        <v>5.35</v>
      </c>
      <c r="AI5" s="1">
        <v>3.32</v>
      </c>
      <c r="AJ5" s="1">
        <v>4</v>
      </c>
      <c r="AK5" s="1">
        <v>58</v>
      </c>
      <c r="AL5" s="1">
        <v>61.9</v>
      </c>
      <c r="AM5" s="1">
        <v>35.5</v>
      </c>
      <c r="AN5" s="1">
        <v>15</v>
      </c>
      <c r="AO5" s="1">
        <v>40.6</v>
      </c>
      <c r="AP5" s="1">
        <v>43</v>
      </c>
      <c r="AQ5" s="1" t="s">
        <v>66</v>
      </c>
      <c r="AR5" s="1" t="s">
        <v>67</v>
      </c>
      <c r="AS5" s="1" t="s">
        <v>57</v>
      </c>
      <c r="AT5" s="1" t="s">
        <v>68</v>
      </c>
      <c r="AU5" s="1" t="s">
        <v>57</v>
      </c>
    </row>
    <row r="6" spans="1:47">
      <c r="A6" s="1">
        <v>3</v>
      </c>
      <c r="B6" s="1" t="s">
        <v>90</v>
      </c>
      <c r="C6" s="1" t="s">
        <v>91</v>
      </c>
      <c r="D6" s="6">
        <v>0.56</v>
      </c>
      <c r="E6" s="1" t="s">
        <v>49</v>
      </c>
      <c r="F6" s="1" t="s">
        <v>92</v>
      </c>
      <c r="G6" s="1" t="s">
        <v>51</v>
      </c>
      <c r="H6" s="1" t="s">
        <v>52</v>
      </c>
      <c r="I6" s="1" t="s">
        <v>52</v>
      </c>
      <c r="J6" s="1" t="s">
        <v>52</v>
      </c>
      <c r="K6" s="1" t="s">
        <v>53</v>
      </c>
      <c r="L6" s="8" t="str">
        <f>HYPERLINK("https://www.sheetal.co/Details/StoneDetails/?stoneno=AM28046","YES")</f>
        <v>YES</v>
      </c>
      <c r="M6" s="8" t="str">
        <f>HYPERLINK("https://www.sheetal.co/Details/StoneDetails/?stoneno=AM28046","YES")</f>
        <v>YES</v>
      </c>
      <c r="N6" s="8" t="str">
        <f>HYPERLINK("https://www.sheetal.co/certificate/6505862087.pdf","6505862087")</f>
        <v>6505862087</v>
      </c>
      <c r="O6" s="6">
        <v>2100</v>
      </c>
      <c r="P6" s="6">
        <v>-48.39</v>
      </c>
      <c r="Q6" s="9">
        <v>1083.81</v>
      </c>
      <c r="R6" s="6">
        <v>606.93</v>
      </c>
      <c r="S6" s="1" t="s">
        <v>58</v>
      </c>
      <c r="T6" s="1" t="s">
        <v>55</v>
      </c>
      <c r="U6" s="1" t="s">
        <v>56</v>
      </c>
      <c r="V6" s="1" t="s">
        <v>57</v>
      </c>
      <c r="W6" s="1" t="s">
        <v>58</v>
      </c>
      <c r="X6" s="1" t="s">
        <v>73</v>
      </c>
      <c r="Y6" s="1" t="s">
        <v>59</v>
      </c>
      <c r="Z6" s="1" t="s">
        <v>74</v>
      </c>
      <c r="AA6" s="1" t="s">
        <v>61</v>
      </c>
      <c r="AB6" s="1" t="s">
        <v>93</v>
      </c>
      <c r="AC6" s="1" t="s">
        <v>63</v>
      </c>
      <c r="AD6" s="1" t="s">
        <v>61</v>
      </c>
      <c r="AE6" s="1" t="s">
        <v>94</v>
      </c>
      <c r="AF6" s="1">
        <v>1.01</v>
      </c>
      <c r="AG6" s="1">
        <v>5.29</v>
      </c>
      <c r="AH6" s="1">
        <v>5.26</v>
      </c>
      <c r="AI6" s="1">
        <v>3.27</v>
      </c>
      <c r="AJ6" s="1">
        <v>4</v>
      </c>
      <c r="AK6" s="1">
        <v>58</v>
      </c>
      <c r="AL6" s="1">
        <v>62</v>
      </c>
      <c r="AM6" s="1">
        <v>35.5</v>
      </c>
      <c r="AN6" s="1">
        <v>15</v>
      </c>
      <c r="AO6" s="1">
        <v>40.8</v>
      </c>
      <c r="AP6" s="1">
        <v>43</v>
      </c>
      <c r="AQ6" s="1" t="s">
        <v>66</v>
      </c>
      <c r="AR6" s="1" t="s">
        <v>67</v>
      </c>
      <c r="AS6" s="1" t="s">
        <v>57</v>
      </c>
      <c r="AT6" s="1" t="s">
        <v>68</v>
      </c>
      <c r="AU6" s="1" t="s">
        <v>57</v>
      </c>
    </row>
    <row r="7" spans="1:47">
      <c r="A7" s="1">
        <v>4</v>
      </c>
      <c r="B7" s="1" t="s">
        <v>90</v>
      </c>
      <c r="C7" s="1" t="s">
        <v>95</v>
      </c>
      <c r="D7" s="6">
        <v>0.54</v>
      </c>
      <c r="E7" s="1" t="s">
        <v>49</v>
      </c>
      <c r="F7" s="1" t="s">
        <v>92</v>
      </c>
      <c r="G7" s="1" t="s">
        <v>86</v>
      </c>
      <c r="H7" s="1" t="s">
        <v>52</v>
      </c>
      <c r="I7" s="1" t="s">
        <v>52</v>
      </c>
      <c r="J7" s="1" t="s">
        <v>52</v>
      </c>
      <c r="K7" s="1" t="s">
        <v>53</v>
      </c>
      <c r="L7" s="8" t="str">
        <f>HYPERLINK("https://www.sheetal.co/Details/StoneDetails/?stoneno=AM28592","YES")</f>
        <v>YES</v>
      </c>
      <c r="M7" s="8" t="str">
        <f>HYPERLINK("https://www.sheetal.co/Details/StoneDetails/?stoneno=AM28592","YES")</f>
        <v>YES</v>
      </c>
      <c r="N7" s="8" t="str">
        <f>HYPERLINK("https://www.sheetal.co/certificate/2516214462.pdf","2516214462")</f>
        <v>2516214462</v>
      </c>
      <c r="O7" s="6">
        <v>1800</v>
      </c>
      <c r="P7" s="6">
        <v>-46.1</v>
      </c>
      <c r="Q7" s="9">
        <v>970.2</v>
      </c>
      <c r="R7" s="6">
        <v>523.91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73</v>
      </c>
      <c r="Y7" s="1" t="s">
        <v>80</v>
      </c>
      <c r="Z7" s="1" t="s">
        <v>60</v>
      </c>
      <c r="AA7" s="1" t="s">
        <v>61</v>
      </c>
      <c r="AB7" s="1" t="s">
        <v>62</v>
      </c>
      <c r="AC7" s="1" t="s">
        <v>63</v>
      </c>
      <c r="AD7" s="1" t="s">
        <v>64</v>
      </c>
      <c r="AE7" s="1" t="s">
        <v>96</v>
      </c>
      <c r="AF7" s="1">
        <v>1</v>
      </c>
      <c r="AG7" s="1">
        <v>5.2</v>
      </c>
      <c r="AH7" s="1">
        <v>5.19</v>
      </c>
      <c r="AI7" s="1">
        <v>3.26</v>
      </c>
      <c r="AJ7" s="1">
        <v>4</v>
      </c>
      <c r="AK7" s="1">
        <v>57</v>
      </c>
      <c r="AL7" s="1">
        <v>62.8</v>
      </c>
      <c r="AM7" s="1">
        <v>35</v>
      </c>
      <c r="AN7" s="1">
        <v>15</v>
      </c>
      <c r="AO7" s="1">
        <v>41.4</v>
      </c>
      <c r="AP7" s="1">
        <v>44</v>
      </c>
      <c r="AQ7" s="1" t="s">
        <v>66</v>
      </c>
      <c r="AR7" s="1" t="s">
        <v>67</v>
      </c>
      <c r="AS7" s="1" t="s">
        <v>57</v>
      </c>
      <c r="AT7" s="1" t="s">
        <v>68</v>
      </c>
      <c r="AU7" s="1" t="s">
        <v>57</v>
      </c>
    </row>
    <row r="8" spans="1:47">
      <c r="A8" s="1">
        <v>5</v>
      </c>
      <c r="B8" s="1" t="s">
        <v>90</v>
      </c>
      <c r="C8" s="1" t="s">
        <v>97</v>
      </c>
      <c r="D8" s="6">
        <v>0.54</v>
      </c>
      <c r="E8" s="1" t="s">
        <v>49</v>
      </c>
      <c r="F8" s="1" t="s">
        <v>50</v>
      </c>
      <c r="G8" s="1" t="s">
        <v>86</v>
      </c>
      <c r="H8" s="1" t="s">
        <v>52</v>
      </c>
      <c r="I8" s="1" t="s">
        <v>52</v>
      </c>
      <c r="J8" s="1" t="s">
        <v>52</v>
      </c>
      <c r="K8" s="1" t="s">
        <v>53</v>
      </c>
      <c r="L8" s="8" t="str">
        <f>HYPERLINK("https://www.sheetal.co/Details/StoneDetails/?stoneno=FMS07005","YES")</f>
        <v>YES</v>
      </c>
      <c r="M8" s="8" t="str">
        <f>HYPERLINK("https://www.sheetal.co/Details/StoneDetails/?stoneno=FMS07005","YES")</f>
        <v>YES</v>
      </c>
      <c r="N8" s="8" t="str">
        <f>HYPERLINK("https://www.sheetal.co/certificate/6512326962.pdf","6512326962")</f>
        <v>6512326962</v>
      </c>
      <c r="O8" s="6">
        <v>1300</v>
      </c>
      <c r="P8" s="6">
        <v>-40.39</v>
      </c>
      <c r="Q8" s="9">
        <v>774.93</v>
      </c>
      <c r="R8" s="6">
        <v>418.46</v>
      </c>
      <c r="S8" s="1" t="s">
        <v>58</v>
      </c>
      <c r="T8" s="1" t="s">
        <v>55</v>
      </c>
      <c r="U8" s="1" t="s">
        <v>56</v>
      </c>
      <c r="V8" s="1" t="s">
        <v>57</v>
      </c>
      <c r="W8" s="1" t="s">
        <v>54</v>
      </c>
      <c r="X8" s="1" t="s">
        <v>57</v>
      </c>
      <c r="Y8" s="1" t="s">
        <v>80</v>
      </c>
      <c r="Z8" s="1" t="s">
        <v>74</v>
      </c>
      <c r="AA8" s="1" t="s">
        <v>61</v>
      </c>
      <c r="AB8" s="1" t="s">
        <v>93</v>
      </c>
      <c r="AC8" s="1" t="s">
        <v>63</v>
      </c>
      <c r="AD8" s="1" t="s">
        <v>98</v>
      </c>
      <c r="AE8" s="1" t="s">
        <v>99</v>
      </c>
      <c r="AF8" s="1">
        <v>1.01</v>
      </c>
      <c r="AG8" s="1">
        <v>5.22</v>
      </c>
      <c r="AH8" s="1">
        <v>5.19</v>
      </c>
      <c r="AI8" s="1">
        <v>3.21</v>
      </c>
      <c r="AJ8" s="1">
        <v>4</v>
      </c>
      <c r="AK8" s="1">
        <v>58</v>
      </c>
      <c r="AL8" s="1">
        <v>61.7</v>
      </c>
      <c r="AM8" s="1">
        <v>35.5</v>
      </c>
      <c r="AN8" s="1">
        <v>15</v>
      </c>
      <c r="AO8" s="1">
        <v>40.6</v>
      </c>
      <c r="AP8" s="1">
        <v>43</v>
      </c>
      <c r="AQ8" s="1" t="s">
        <v>66</v>
      </c>
      <c r="AR8" s="1" t="s">
        <v>67</v>
      </c>
      <c r="AS8" s="1" t="s">
        <v>57</v>
      </c>
      <c r="AT8" s="1" t="s">
        <v>68</v>
      </c>
      <c r="AU8" s="1" t="s">
        <v>57</v>
      </c>
    </row>
    <row r="9" spans="1:47">
      <c r="A9" s="1">
        <v>6</v>
      </c>
      <c r="B9" s="1" t="s">
        <v>90</v>
      </c>
      <c r="C9" s="1" t="s">
        <v>100</v>
      </c>
      <c r="D9" s="6">
        <v>0.5</v>
      </c>
      <c r="E9" s="1" t="s">
        <v>49</v>
      </c>
      <c r="F9" s="1" t="s">
        <v>78</v>
      </c>
      <c r="G9" s="1" t="s">
        <v>86</v>
      </c>
      <c r="H9" s="1" t="s">
        <v>52</v>
      </c>
      <c r="I9" s="1" t="s">
        <v>52</v>
      </c>
      <c r="J9" s="1" t="s">
        <v>79</v>
      </c>
      <c r="K9" s="1" t="s">
        <v>53</v>
      </c>
      <c r="L9" s="8" t="str">
        <f>HYPERLINK("https://www.sheetal.co/Details/StoneDetails/?stoneno=RS21860","YES")</f>
        <v>YES</v>
      </c>
      <c r="M9" s="8" t="str">
        <f>HYPERLINK("https://www.sheetal.co/Details/StoneDetails/?stoneno=RS21860","YES")</f>
        <v>YES</v>
      </c>
      <c r="N9" s="8" t="str">
        <f>HYPERLINK("https://www.sheetal.co/certificate/1515207025.pdf","1515207025")</f>
        <v>1515207025</v>
      </c>
      <c r="O9" s="6">
        <v>1700</v>
      </c>
      <c r="P9" s="6">
        <v>-45.42</v>
      </c>
      <c r="Q9" s="9">
        <v>927.86</v>
      </c>
      <c r="R9" s="6">
        <v>463.93</v>
      </c>
      <c r="S9" s="1" t="s">
        <v>58</v>
      </c>
      <c r="T9" s="1" t="s">
        <v>55</v>
      </c>
      <c r="U9" s="1" t="s">
        <v>56</v>
      </c>
      <c r="V9" s="1" t="s">
        <v>57</v>
      </c>
      <c r="W9" s="1" t="s">
        <v>58</v>
      </c>
      <c r="X9" s="1" t="s">
        <v>57</v>
      </c>
      <c r="Y9" s="1" t="s">
        <v>80</v>
      </c>
      <c r="Z9" s="1" t="s">
        <v>74</v>
      </c>
      <c r="AA9" s="1" t="s">
        <v>87</v>
      </c>
      <c r="AB9" s="1" t="s">
        <v>62</v>
      </c>
      <c r="AC9" s="1" t="s">
        <v>88</v>
      </c>
      <c r="AD9" s="1" t="s">
        <v>64</v>
      </c>
      <c r="AE9" s="1" t="s">
        <v>101</v>
      </c>
      <c r="AF9" s="1">
        <v>1.01</v>
      </c>
      <c r="AG9" s="1">
        <v>5.1</v>
      </c>
      <c r="AH9" s="1">
        <v>5.03</v>
      </c>
      <c r="AI9" s="1">
        <v>3.15</v>
      </c>
      <c r="AJ9" s="1">
        <v>4</v>
      </c>
      <c r="AK9" s="1">
        <v>55</v>
      </c>
      <c r="AL9" s="1">
        <v>62.2</v>
      </c>
      <c r="AM9" s="1">
        <v>34</v>
      </c>
      <c r="AN9" s="1">
        <v>15.5</v>
      </c>
      <c r="AO9" s="1">
        <v>40.6</v>
      </c>
      <c r="AP9" s="1">
        <v>43</v>
      </c>
      <c r="AQ9" s="1" t="s">
        <v>102</v>
      </c>
      <c r="AR9" s="1" t="s">
        <v>67</v>
      </c>
      <c r="AS9" s="1" t="s">
        <v>57</v>
      </c>
      <c r="AT9" s="1" t="s">
        <v>68</v>
      </c>
      <c r="AU9" s="1" t="s">
        <v>57</v>
      </c>
    </row>
    <row r="10" spans="1:47">
      <c r="A10" s="1">
        <v>7</v>
      </c>
      <c r="B10" s="1" t="s">
        <v>103</v>
      </c>
      <c r="C10" s="1" t="s">
        <v>104</v>
      </c>
      <c r="D10" s="6">
        <v>0.41</v>
      </c>
      <c r="E10" s="1" t="s">
        <v>49</v>
      </c>
      <c r="F10" s="1" t="s">
        <v>92</v>
      </c>
      <c r="G10" s="1" t="s">
        <v>86</v>
      </c>
      <c r="H10" s="1" t="s">
        <v>52</v>
      </c>
      <c r="I10" s="1" t="s">
        <v>52</v>
      </c>
      <c r="J10" s="1" t="s">
        <v>52</v>
      </c>
      <c r="K10" s="1" t="s">
        <v>53</v>
      </c>
      <c r="L10" s="8" t="str">
        <f>HYPERLINK("https://www.sheetal.co/Details/StoneDetails/?stoneno=RS06711","YES")</f>
        <v>YES</v>
      </c>
      <c r="M10" s="8" t="str">
        <f>HYPERLINK("https://www.sheetal.co/Details/StoneDetails/?stoneno=RS06711","YES")</f>
        <v>YES</v>
      </c>
      <c r="N10" s="8" t="str">
        <f>HYPERLINK("https://www.sheetal.co/certificate/2508427912.pdf","2508427912")</f>
        <v>2508427912</v>
      </c>
      <c r="O10" s="6">
        <v>1600</v>
      </c>
      <c r="P10" s="6">
        <v>-47.01</v>
      </c>
      <c r="Q10" s="9">
        <v>847.84</v>
      </c>
      <c r="R10" s="6">
        <v>347.61</v>
      </c>
      <c r="S10" s="1" t="s">
        <v>58</v>
      </c>
      <c r="T10" s="1" t="s">
        <v>55</v>
      </c>
      <c r="U10" s="1" t="s">
        <v>56</v>
      </c>
      <c r="V10" s="1" t="s">
        <v>57</v>
      </c>
      <c r="W10" s="1" t="s">
        <v>58</v>
      </c>
      <c r="X10" s="1" t="s">
        <v>57</v>
      </c>
      <c r="Y10" s="1" t="s">
        <v>80</v>
      </c>
      <c r="Z10" s="1" t="s">
        <v>74</v>
      </c>
      <c r="AA10" s="1" t="s">
        <v>61</v>
      </c>
      <c r="AB10" s="1" t="s">
        <v>93</v>
      </c>
      <c r="AC10" s="1" t="s">
        <v>88</v>
      </c>
      <c r="AD10" s="1" t="s">
        <v>82</v>
      </c>
      <c r="AE10" s="1" t="s">
        <v>83</v>
      </c>
      <c r="AF10" s="1">
        <v>1.01</v>
      </c>
      <c r="AG10" s="1">
        <v>4.78</v>
      </c>
      <c r="AH10" s="1">
        <v>4.75</v>
      </c>
      <c r="AI10" s="1">
        <v>2.95</v>
      </c>
      <c r="AJ10" s="1">
        <v>4</v>
      </c>
      <c r="AK10" s="1">
        <v>59</v>
      </c>
      <c r="AL10" s="1">
        <v>61.9</v>
      </c>
      <c r="AM10" s="1">
        <v>35</v>
      </c>
      <c r="AN10" s="1">
        <v>14.5</v>
      </c>
      <c r="AO10" s="1">
        <v>41</v>
      </c>
      <c r="AP10" s="1">
        <v>43.5</v>
      </c>
      <c r="AQ10" s="1" t="s">
        <v>66</v>
      </c>
      <c r="AR10" s="1" t="s">
        <v>67</v>
      </c>
      <c r="AS10" s="1" t="s">
        <v>57</v>
      </c>
      <c r="AT10" s="1" t="s">
        <v>68</v>
      </c>
      <c r="AU10" s="1" t="s">
        <v>57</v>
      </c>
    </row>
    <row r="11" spans="1:47">
      <c r="A11" s="1">
        <v>8</v>
      </c>
      <c r="B11" s="1" t="s">
        <v>103</v>
      </c>
      <c r="C11" s="1" t="s">
        <v>105</v>
      </c>
      <c r="D11" s="6">
        <v>0.4</v>
      </c>
      <c r="E11" s="1" t="s">
        <v>49</v>
      </c>
      <c r="F11" s="1" t="s">
        <v>78</v>
      </c>
      <c r="G11" s="1" t="s">
        <v>86</v>
      </c>
      <c r="H11" s="1" t="s">
        <v>52</v>
      </c>
      <c r="I11" s="1" t="s">
        <v>79</v>
      </c>
      <c r="J11" s="1" t="s">
        <v>79</v>
      </c>
      <c r="K11" s="1" t="s">
        <v>53</v>
      </c>
      <c r="L11" s="8" t="str">
        <f>HYPERLINK("https://www.sheetal.co/Details/StoneDetails/?stoneno=RS16776","YES")</f>
        <v>YES</v>
      </c>
      <c r="M11" s="8" t="str">
        <f>HYPERLINK("https://www.sheetal.co/Details/StoneDetails/?stoneno=RS16776","YES")</f>
        <v>YES</v>
      </c>
      <c r="N11" s="8" t="str">
        <f>HYPERLINK("https://www.sheetal.co/certificate/2504865849.pdf","2504865849")</f>
        <v>2504865849</v>
      </c>
      <c r="O11" s="6">
        <v>1500</v>
      </c>
      <c r="P11" s="6">
        <v>-46.35</v>
      </c>
      <c r="Q11" s="9">
        <v>804.75</v>
      </c>
      <c r="R11" s="6">
        <v>321.9</v>
      </c>
      <c r="S11" s="1" t="s">
        <v>54</v>
      </c>
      <c r="T11" s="1" t="s">
        <v>55</v>
      </c>
      <c r="U11" s="1" t="s">
        <v>56</v>
      </c>
      <c r="V11" s="1" t="s">
        <v>57</v>
      </c>
      <c r="W11" s="1" t="s">
        <v>58</v>
      </c>
      <c r="X11" s="1" t="s">
        <v>57</v>
      </c>
      <c r="Y11" s="1" t="s">
        <v>80</v>
      </c>
      <c r="Z11" s="1" t="s">
        <v>74</v>
      </c>
      <c r="AA11" s="1" t="s">
        <v>87</v>
      </c>
      <c r="AB11" s="1" t="s">
        <v>93</v>
      </c>
      <c r="AC11" s="1" t="s">
        <v>88</v>
      </c>
      <c r="AD11" s="1" t="s">
        <v>64</v>
      </c>
      <c r="AE11" s="1" t="s">
        <v>106</v>
      </c>
      <c r="AF11" s="1">
        <v>1.01</v>
      </c>
      <c r="AG11" s="1">
        <v>4.71</v>
      </c>
      <c r="AH11" s="1">
        <v>4.67</v>
      </c>
      <c r="AI11" s="1">
        <v>2.93</v>
      </c>
      <c r="AJ11" s="1">
        <v>4</v>
      </c>
      <c r="AK11" s="1">
        <v>56</v>
      </c>
      <c r="AL11" s="1">
        <v>62.4</v>
      </c>
      <c r="AM11" s="1">
        <v>35.5</v>
      </c>
      <c r="AN11" s="1">
        <v>15.5</v>
      </c>
      <c r="AO11" s="1">
        <v>40.6</v>
      </c>
      <c r="AP11" s="1">
        <v>42.5</v>
      </c>
      <c r="AQ11" s="1" t="s">
        <v>102</v>
      </c>
      <c r="AR11" s="1" t="s">
        <v>67</v>
      </c>
      <c r="AS11" s="1" t="s">
        <v>57</v>
      </c>
      <c r="AT11" s="1" t="s">
        <v>68</v>
      </c>
      <c r="AU11" s="1" t="s">
        <v>57</v>
      </c>
    </row>
    <row r="12" spans="1:47">
      <c r="A12" s="1">
        <v>9</v>
      </c>
      <c r="B12" s="1" t="s">
        <v>103</v>
      </c>
      <c r="C12" s="1" t="s">
        <v>107</v>
      </c>
      <c r="D12" s="6">
        <v>0.4</v>
      </c>
      <c r="E12" s="1" t="s">
        <v>49</v>
      </c>
      <c r="F12" s="1" t="s">
        <v>108</v>
      </c>
      <c r="G12" s="1" t="s">
        <v>86</v>
      </c>
      <c r="H12" s="1" t="s">
        <v>52</v>
      </c>
      <c r="I12" s="1" t="s">
        <v>52</v>
      </c>
      <c r="J12" s="1" t="s">
        <v>52</v>
      </c>
      <c r="K12" s="1" t="s">
        <v>53</v>
      </c>
      <c r="L12" s="8" t="str">
        <f>HYPERLINK("https://www.sheetal.co/Details/StoneDetails/?stoneno=AM30558","YES")</f>
        <v>YES</v>
      </c>
      <c r="M12" s="8" t="str">
        <f>HYPERLINK("https://www.sheetal.co/Details/StoneDetails/?stoneno=AM30558","YES")</f>
        <v>YES</v>
      </c>
      <c r="N12" s="8" t="str">
        <f>HYPERLINK("https://www.sheetal.co/certificate/2516329296.pdf","2516329296")</f>
        <v>2516329296</v>
      </c>
      <c r="O12" s="6">
        <v>1300</v>
      </c>
      <c r="P12" s="6">
        <v>-37.19</v>
      </c>
      <c r="Q12" s="9">
        <v>816.53</v>
      </c>
      <c r="R12" s="6">
        <v>326.61</v>
      </c>
      <c r="S12" s="1" t="s">
        <v>58</v>
      </c>
      <c r="T12" s="1" t="s">
        <v>55</v>
      </c>
      <c r="U12" s="1" t="s">
        <v>56</v>
      </c>
      <c r="V12" s="1" t="s">
        <v>57</v>
      </c>
      <c r="W12" s="1" t="s">
        <v>54</v>
      </c>
      <c r="X12" s="1" t="s">
        <v>57</v>
      </c>
      <c r="Y12" s="1" t="s">
        <v>80</v>
      </c>
      <c r="Z12" s="1" t="s">
        <v>74</v>
      </c>
      <c r="AA12" s="1" t="s">
        <v>87</v>
      </c>
      <c r="AB12" s="1" t="s">
        <v>93</v>
      </c>
      <c r="AC12" s="1" t="s">
        <v>63</v>
      </c>
      <c r="AD12" s="1" t="s">
        <v>98</v>
      </c>
      <c r="AE12" s="1" t="s">
        <v>109</v>
      </c>
      <c r="AF12" s="1">
        <v>1.01</v>
      </c>
      <c r="AG12" s="1">
        <v>4.77</v>
      </c>
      <c r="AH12" s="1">
        <v>4.74</v>
      </c>
      <c r="AI12" s="1">
        <v>2.87</v>
      </c>
      <c r="AJ12" s="1">
        <v>4</v>
      </c>
      <c r="AK12" s="1">
        <v>60</v>
      </c>
      <c r="AL12" s="1">
        <v>60.3</v>
      </c>
      <c r="AM12" s="1">
        <v>33</v>
      </c>
      <c r="AN12" s="1">
        <v>13</v>
      </c>
      <c r="AO12" s="1">
        <v>41</v>
      </c>
      <c r="AP12" s="1">
        <v>43.5</v>
      </c>
      <c r="AQ12" s="1" t="s">
        <v>66</v>
      </c>
      <c r="AR12" s="1" t="s">
        <v>67</v>
      </c>
      <c r="AS12" s="1" t="s">
        <v>57</v>
      </c>
      <c r="AT12" s="1" t="s">
        <v>68</v>
      </c>
      <c r="AU12" s="1" t="s">
        <v>110</v>
      </c>
    </row>
    <row r="13" spans="1:47">
      <c r="A13" s="1">
        <v>10</v>
      </c>
      <c r="B13" s="1" t="s">
        <v>111</v>
      </c>
      <c r="C13" s="1" t="s">
        <v>112</v>
      </c>
      <c r="D13" s="6">
        <v>0.38</v>
      </c>
      <c r="E13" s="1" t="s">
        <v>49</v>
      </c>
      <c r="F13" s="1" t="s">
        <v>113</v>
      </c>
      <c r="G13" s="1" t="s">
        <v>86</v>
      </c>
      <c r="H13" s="1" t="s">
        <v>52</v>
      </c>
      <c r="I13" s="1" t="s">
        <v>52</v>
      </c>
      <c r="J13" s="1" t="s">
        <v>52</v>
      </c>
      <c r="K13" s="1" t="s">
        <v>53</v>
      </c>
      <c r="L13" s="8" t="str">
        <f>HYPERLINK("https://www.sheetal.co/Details/StoneDetails/?stoneno=RM18771","YES")</f>
        <v>YES</v>
      </c>
      <c r="M13" s="8" t="str">
        <f>HYPERLINK("https://www.sheetal.co/Details/StoneDetails/?stoneno=RM18771","YES")</f>
        <v>YES</v>
      </c>
      <c r="N13" s="8" t="str">
        <f>HYPERLINK("https://www.sheetal.co/certificate/7488948438.pdf","7488948438")</f>
        <v>7488948438</v>
      </c>
      <c r="O13" s="6">
        <v>1500</v>
      </c>
      <c r="P13" s="6">
        <v>-48.46</v>
      </c>
      <c r="Q13" s="9">
        <v>773.1</v>
      </c>
      <c r="R13" s="6">
        <v>293.78</v>
      </c>
      <c r="S13" s="1" t="s">
        <v>58</v>
      </c>
      <c r="T13" s="1" t="s">
        <v>55</v>
      </c>
      <c r="U13" s="1" t="s">
        <v>56</v>
      </c>
      <c r="V13" s="1" t="s">
        <v>57</v>
      </c>
      <c r="W13" s="1" t="s">
        <v>54</v>
      </c>
      <c r="X13" s="1" t="s">
        <v>57</v>
      </c>
      <c r="Y13" s="1" t="s">
        <v>80</v>
      </c>
      <c r="Z13" s="1" t="s">
        <v>74</v>
      </c>
      <c r="AA13" s="1" t="s">
        <v>87</v>
      </c>
      <c r="AB13" s="1" t="s">
        <v>93</v>
      </c>
      <c r="AC13" s="1" t="s">
        <v>88</v>
      </c>
      <c r="AD13" s="1" t="s">
        <v>64</v>
      </c>
      <c r="AE13" s="1" t="s">
        <v>114</v>
      </c>
      <c r="AF13" s="1">
        <v>1.01</v>
      </c>
      <c r="AG13" s="1">
        <v>4.63</v>
      </c>
      <c r="AH13" s="1">
        <v>4.6</v>
      </c>
      <c r="AI13" s="1">
        <v>2.89</v>
      </c>
      <c r="AJ13" s="1">
        <v>4</v>
      </c>
      <c r="AK13" s="1">
        <v>56</v>
      </c>
      <c r="AL13" s="1">
        <v>62.7</v>
      </c>
      <c r="AM13" s="1">
        <v>35</v>
      </c>
      <c r="AN13" s="1">
        <v>15.5</v>
      </c>
      <c r="AO13" s="1">
        <v>40.8</v>
      </c>
      <c r="AP13" s="1">
        <v>43</v>
      </c>
      <c r="AQ13" s="1" t="s">
        <v>66</v>
      </c>
      <c r="AR13" s="1" t="s">
        <v>67</v>
      </c>
      <c r="AS13" s="1" t="s">
        <v>57</v>
      </c>
      <c r="AT13" s="1" t="s">
        <v>68</v>
      </c>
      <c r="AU13" s="1" t="s">
        <v>57</v>
      </c>
    </row>
    <row r="14" spans="1:47">
      <c r="A14" s="1">
        <v>11</v>
      </c>
      <c r="B14" s="1" t="s">
        <v>111</v>
      </c>
      <c r="C14" s="1" t="s">
        <v>115</v>
      </c>
      <c r="D14" s="6">
        <v>0.37</v>
      </c>
      <c r="E14" s="1" t="s">
        <v>49</v>
      </c>
      <c r="F14" s="1" t="s">
        <v>71</v>
      </c>
      <c r="G14" s="1" t="s">
        <v>86</v>
      </c>
      <c r="H14" s="1" t="s">
        <v>52</v>
      </c>
      <c r="I14" s="1" t="s">
        <v>52</v>
      </c>
      <c r="J14" s="1" t="s">
        <v>52</v>
      </c>
      <c r="K14" s="1" t="s">
        <v>53</v>
      </c>
      <c r="L14" s="8" t="str">
        <f>HYPERLINK("https://www.sheetal.co/Details/StoneDetails/?stoneno=AM28008","YES")</f>
        <v>YES</v>
      </c>
      <c r="M14" s="8" t="str">
        <f>HYPERLINK("https://www.sheetal.co/Details/StoneDetails/?stoneno=AM28008","YES")</f>
        <v>YES</v>
      </c>
      <c r="N14" s="8" t="str">
        <f>HYPERLINK("https://www.sheetal.co/certificate/7508857116.pdf","7508857116")</f>
        <v>7508857116</v>
      </c>
      <c r="O14" s="6">
        <v>1600</v>
      </c>
      <c r="P14" s="6">
        <v>-46.8</v>
      </c>
      <c r="Q14" s="9">
        <v>851.2</v>
      </c>
      <c r="R14" s="6">
        <v>314.94</v>
      </c>
      <c r="S14" s="1" t="s">
        <v>58</v>
      </c>
      <c r="T14" s="1" t="s">
        <v>55</v>
      </c>
      <c r="U14" s="1" t="s">
        <v>56</v>
      </c>
      <c r="V14" s="1" t="s">
        <v>57</v>
      </c>
      <c r="W14" s="1" t="s">
        <v>58</v>
      </c>
      <c r="X14" s="1" t="s">
        <v>57</v>
      </c>
      <c r="Y14" s="1" t="s">
        <v>80</v>
      </c>
      <c r="Z14" s="1" t="s">
        <v>74</v>
      </c>
      <c r="AA14" s="1" t="s">
        <v>61</v>
      </c>
      <c r="AB14" s="1" t="s">
        <v>93</v>
      </c>
      <c r="AC14" s="1" t="s">
        <v>88</v>
      </c>
      <c r="AD14" s="1" t="s">
        <v>82</v>
      </c>
      <c r="AE14" s="1" t="s">
        <v>116</v>
      </c>
      <c r="AF14" s="1">
        <v>1.01</v>
      </c>
      <c r="AG14" s="1">
        <v>4.59</v>
      </c>
      <c r="AH14" s="1">
        <v>4.56</v>
      </c>
      <c r="AI14" s="1">
        <v>2.85</v>
      </c>
      <c r="AJ14" s="1">
        <v>4</v>
      </c>
      <c r="AK14" s="1">
        <v>57</v>
      </c>
      <c r="AL14" s="1">
        <v>62.2</v>
      </c>
      <c r="AM14" s="1">
        <v>35.5</v>
      </c>
      <c r="AN14" s="1">
        <v>15</v>
      </c>
      <c r="AO14" s="1">
        <v>40.8</v>
      </c>
      <c r="AP14" s="1">
        <v>43</v>
      </c>
      <c r="AQ14" s="1" t="s">
        <v>66</v>
      </c>
      <c r="AR14" s="1" t="s">
        <v>67</v>
      </c>
      <c r="AS14" s="1" t="s">
        <v>57</v>
      </c>
      <c r="AT14" s="1" t="s">
        <v>68</v>
      </c>
      <c r="AU14" s="1" t="s">
        <v>57</v>
      </c>
    </row>
    <row r="15" spans="1:47">
      <c r="A15" s="1">
        <v>12</v>
      </c>
      <c r="B15" s="1" t="s">
        <v>111</v>
      </c>
      <c r="C15" s="1" t="s">
        <v>117</v>
      </c>
      <c r="D15" s="6">
        <v>0.36</v>
      </c>
      <c r="E15" s="1" t="s">
        <v>49</v>
      </c>
      <c r="F15" s="1" t="s">
        <v>113</v>
      </c>
      <c r="G15" s="1" t="s">
        <v>72</v>
      </c>
      <c r="H15" s="1" t="s">
        <v>52</v>
      </c>
      <c r="I15" s="1" t="s">
        <v>52</v>
      </c>
      <c r="J15" s="1" t="s">
        <v>52</v>
      </c>
      <c r="K15" s="1" t="s">
        <v>53</v>
      </c>
      <c r="L15" s="8" t="str">
        <f>HYPERLINK("https://www.sheetal.co/Details/StoneDetails/?stoneno=AM29749","YES")</f>
        <v>YES</v>
      </c>
      <c r="M15" s="8" t="str">
        <f>HYPERLINK("https://www.sheetal.co/Details/StoneDetails/?stoneno=AM29749","YES")</f>
        <v>YES</v>
      </c>
      <c r="N15" s="8" t="str">
        <f>HYPERLINK("https://www.sheetal.co/certificate/1513334778.pdf","1513334778")</f>
        <v>1513334778</v>
      </c>
      <c r="O15" s="6">
        <v>1700</v>
      </c>
      <c r="P15" s="6">
        <v>-38.66</v>
      </c>
      <c r="Q15" s="9">
        <v>1042.78</v>
      </c>
      <c r="R15" s="6">
        <v>375.4</v>
      </c>
      <c r="S15" s="1" t="s">
        <v>58</v>
      </c>
      <c r="T15" s="1" t="s">
        <v>55</v>
      </c>
      <c r="U15" s="1" t="s">
        <v>56</v>
      </c>
      <c r="V15" s="1" t="s">
        <v>57</v>
      </c>
      <c r="W15" s="1" t="s">
        <v>54</v>
      </c>
      <c r="X15" s="1" t="s">
        <v>73</v>
      </c>
      <c r="Y15" s="1" t="s">
        <v>80</v>
      </c>
      <c r="Z15" s="1" t="s">
        <v>74</v>
      </c>
      <c r="AA15" s="1" t="s">
        <v>61</v>
      </c>
      <c r="AB15" s="1" t="s">
        <v>61</v>
      </c>
      <c r="AC15" s="1" t="s">
        <v>63</v>
      </c>
      <c r="AD15" s="1" t="s">
        <v>61</v>
      </c>
      <c r="AE15" s="1" t="s">
        <v>118</v>
      </c>
      <c r="AF15" s="1">
        <v>1</v>
      </c>
      <c r="AG15" s="1">
        <v>4.58</v>
      </c>
      <c r="AH15" s="1">
        <v>4.56</v>
      </c>
      <c r="AI15" s="1">
        <v>2.82</v>
      </c>
      <c r="AJ15" s="1">
        <v>4</v>
      </c>
      <c r="AK15" s="1">
        <v>57</v>
      </c>
      <c r="AL15" s="1">
        <v>61.8</v>
      </c>
      <c r="AM15" s="1">
        <v>33.5</v>
      </c>
      <c r="AN15" s="1">
        <v>14</v>
      </c>
      <c r="AO15" s="1">
        <v>41.2</v>
      </c>
      <c r="AP15" s="1">
        <v>43.5</v>
      </c>
      <c r="AQ15" s="1" t="s">
        <v>66</v>
      </c>
      <c r="AR15" s="1" t="s">
        <v>67</v>
      </c>
      <c r="AS15" s="1" t="s">
        <v>57</v>
      </c>
      <c r="AT15" s="1" t="s">
        <v>68</v>
      </c>
      <c r="AU15" s="1" t="s">
        <v>57</v>
      </c>
    </row>
    <row r="16" spans="1:47">
      <c r="A16" s="1">
        <v>13</v>
      </c>
      <c r="B16" s="1" t="s">
        <v>111</v>
      </c>
      <c r="C16" s="1" t="s">
        <v>119</v>
      </c>
      <c r="D16" s="6">
        <v>0.35</v>
      </c>
      <c r="E16" s="1" t="s">
        <v>49</v>
      </c>
      <c r="F16" s="1" t="s">
        <v>71</v>
      </c>
      <c r="G16" s="1" t="s">
        <v>51</v>
      </c>
      <c r="H16" s="1" t="s">
        <v>52</v>
      </c>
      <c r="I16" s="1" t="s">
        <v>52</v>
      </c>
      <c r="J16" s="1" t="s">
        <v>52</v>
      </c>
      <c r="K16" s="1" t="s">
        <v>53</v>
      </c>
      <c r="L16" s="8" t="str">
        <f>HYPERLINK("https://www.sheetal.co/Details/StoneDetails/?stoneno=RS19062","YES")</f>
        <v>YES</v>
      </c>
      <c r="M16" s="8" t="str">
        <f>HYPERLINK("https://www.sheetal.co/Details/StoneDetails/?stoneno=RS19062","YES")</f>
        <v>YES</v>
      </c>
      <c r="N16" s="8" t="str">
        <f>HYPERLINK("https://www.sheetal.co/certificate/6512100144.pdf","6512100144")</f>
        <v>6512100144</v>
      </c>
      <c r="O16" s="6">
        <v>1700</v>
      </c>
      <c r="P16" s="6">
        <v>-40.56</v>
      </c>
      <c r="Q16" s="9">
        <v>1010.48</v>
      </c>
      <c r="R16" s="6">
        <v>353.67</v>
      </c>
      <c r="S16" s="1" t="s">
        <v>58</v>
      </c>
      <c r="T16" s="1" t="s">
        <v>55</v>
      </c>
      <c r="U16" s="1" t="s">
        <v>56</v>
      </c>
      <c r="V16" s="1" t="s">
        <v>57</v>
      </c>
      <c r="W16" s="1" t="s">
        <v>58</v>
      </c>
      <c r="X16" s="1" t="s">
        <v>73</v>
      </c>
      <c r="Y16" s="1" t="s">
        <v>80</v>
      </c>
      <c r="Z16" s="1" t="s">
        <v>74</v>
      </c>
      <c r="AA16" s="1" t="s">
        <v>81</v>
      </c>
      <c r="AB16" s="1" t="s">
        <v>62</v>
      </c>
      <c r="AC16" s="1" t="s">
        <v>63</v>
      </c>
      <c r="AD16" s="1" t="s">
        <v>64</v>
      </c>
      <c r="AE16" s="1" t="s">
        <v>83</v>
      </c>
      <c r="AF16" s="1">
        <v>1.01</v>
      </c>
      <c r="AG16" s="1">
        <v>4.53</v>
      </c>
      <c r="AH16" s="1">
        <v>4.5</v>
      </c>
      <c r="AI16" s="1">
        <v>2.8</v>
      </c>
      <c r="AJ16" s="1">
        <v>4</v>
      </c>
      <c r="AK16" s="1">
        <v>57</v>
      </c>
      <c r="AL16" s="1">
        <v>62</v>
      </c>
      <c r="AM16" s="1">
        <v>35</v>
      </c>
      <c r="AN16" s="1">
        <v>15</v>
      </c>
      <c r="AO16" s="1">
        <v>40.8</v>
      </c>
      <c r="AP16" s="1">
        <v>43</v>
      </c>
      <c r="AQ16" s="1" t="s">
        <v>66</v>
      </c>
      <c r="AR16" s="1" t="s">
        <v>67</v>
      </c>
      <c r="AS16" s="1" t="s">
        <v>57</v>
      </c>
      <c r="AT16" s="1" t="s">
        <v>68</v>
      </c>
      <c r="AU16" s="1" t="s">
        <v>110</v>
      </c>
    </row>
    <row r="17" spans="1:47">
      <c r="A17" s="1">
        <v>14</v>
      </c>
      <c r="B17" s="1" t="s">
        <v>111</v>
      </c>
      <c r="C17" s="1" t="s">
        <v>120</v>
      </c>
      <c r="D17" s="6">
        <v>0.35</v>
      </c>
      <c r="E17" s="1" t="s">
        <v>49</v>
      </c>
      <c r="F17" s="1" t="s">
        <v>113</v>
      </c>
      <c r="G17" s="1" t="s">
        <v>86</v>
      </c>
      <c r="H17" s="1" t="s">
        <v>52</v>
      </c>
      <c r="I17" s="1" t="s">
        <v>52</v>
      </c>
      <c r="J17" s="1" t="s">
        <v>52</v>
      </c>
      <c r="K17" s="1" t="s">
        <v>53</v>
      </c>
      <c r="L17" s="8" t="str">
        <f>HYPERLINK("https://www.sheetal.co/Details/StoneDetails/?stoneno=AM30901","YES")</f>
        <v>YES</v>
      </c>
      <c r="M17" s="8" t="str">
        <f>HYPERLINK("https://www.sheetal.co/Details/StoneDetails/?stoneno=AM30901","YES")</f>
        <v>YES</v>
      </c>
      <c r="N17" s="8" t="str">
        <f>HYPERLINK("https://www.sheetal.co/certificate/7512334687.pdf","7512334687")</f>
        <v>7512334687</v>
      </c>
      <c r="O17" s="6">
        <v>1500</v>
      </c>
      <c r="P17" s="6">
        <v>-39.78</v>
      </c>
      <c r="Q17" s="9">
        <v>903.3</v>
      </c>
      <c r="R17" s="6">
        <v>316.15</v>
      </c>
      <c r="S17" s="1" t="s">
        <v>58</v>
      </c>
      <c r="T17" s="1" t="s">
        <v>55</v>
      </c>
      <c r="U17" s="1" t="s">
        <v>56</v>
      </c>
      <c r="V17" s="1" t="s">
        <v>57</v>
      </c>
      <c r="W17" s="1" t="s">
        <v>58</v>
      </c>
      <c r="X17" s="1" t="s">
        <v>73</v>
      </c>
      <c r="Y17" s="1" t="s">
        <v>80</v>
      </c>
      <c r="Z17" s="1" t="s">
        <v>74</v>
      </c>
      <c r="AA17" s="1" t="s">
        <v>87</v>
      </c>
      <c r="AB17" s="1" t="s">
        <v>62</v>
      </c>
      <c r="AC17" s="1" t="s">
        <v>63</v>
      </c>
      <c r="AD17" s="1" t="s">
        <v>64</v>
      </c>
      <c r="AE17" s="1" t="s">
        <v>101</v>
      </c>
      <c r="AF17" s="1">
        <v>1.01</v>
      </c>
      <c r="AG17" s="1">
        <v>4.52</v>
      </c>
      <c r="AH17" s="1">
        <v>4.49</v>
      </c>
      <c r="AI17" s="1">
        <v>2.81</v>
      </c>
      <c r="AJ17" s="1">
        <v>4</v>
      </c>
      <c r="AK17" s="1">
        <v>56</v>
      </c>
      <c r="AL17" s="1">
        <v>62.4</v>
      </c>
      <c r="AM17" s="1">
        <v>35</v>
      </c>
      <c r="AN17" s="1">
        <v>15.5</v>
      </c>
      <c r="AO17" s="1">
        <v>41</v>
      </c>
      <c r="AP17" s="1">
        <v>43.5</v>
      </c>
      <c r="AQ17" s="1" t="s">
        <v>66</v>
      </c>
      <c r="AR17" s="1" t="s">
        <v>67</v>
      </c>
      <c r="AS17" s="1" t="s">
        <v>57</v>
      </c>
      <c r="AT17" s="1" t="s">
        <v>68</v>
      </c>
      <c r="AU17" s="1" t="s">
        <v>110</v>
      </c>
    </row>
    <row r="18" spans="1:47">
      <c r="A18" s="1">
        <v>15</v>
      </c>
      <c r="B18" s="1" t="s">
        <v>111</v>
      </c>
      <c r="C18" s="1" t="s">
        <v>121</v>
      </c>
      <c r="D18" s="6">
        <v>0.35</v>
      </c>
      <c r="E18" s="1" t="s">
        <v>49</v>
      </c>
      <c r="F18" s="1" t="s">
        <v>92</v>
      </c>
      <c r="G18" s="1" t="s">
        <v>51</v>
      </c>
      <c r="H18" s="1" t="s">
        <v>52</v>
      </c>
      <c r="I18" s="1" t="s">
        <v>52</v>
      </c>
      <c r="J18" s="1" t="s">
        <v>52</v>
      </c>
      <c r="K18" s="1" t="s">
        <v>53</v>
      </c>
      <c r="L18" s="8" t="str">
        <f>HYPERLINK("https://www.sheetal.co/Details/StoneDetails/?stoneno=AM26380","YES")</f>
        <v>YES</v>
      </c>
      <c r="M18" s="8" t="str">
        <f>HYPERLINK("https://www.sheetal.co/Details/StoneDetails/?stoneno=AM26380","YES")</f>
        <v>YES</v>
      </c>
      <c r="N18" s="8" t="str">
        <f>HYPERLINK("https://www.sheetal.co/certificate/7501789911.pdf","7501789911")</f>
        <v>7501789911</v>
      </c>
      <c r="O18" s="6">
        <v>1500</v>
      </c>
      <c r="P18" s="6">
        <v>-40.04</v>
      </c>
      <c r="Q18" s="9">
        <v>899.4</v>
      </c>
      <c r="R18" s="6">
        <v>314.79</v>
      </c>
      <c r="S18" s="1" t="s">
        <v>58</v>
      </c>
      <c r="T18" s="1" t="s">
        <v>55</v>
      </c>
      <c r="U18" s="1" t="s">
        <v>56</v>
      </c>
      <c r="V18" s="1" t="s">
        <v>57</v>
      </c>
      <c r="W18" s="1" t="s">
        <v>54</v>
      </c>
      <c r="X18" s="1" t="s">
        <v>73</v>
      </c>
      <c r="Y18" s="1" t="s">
        <v>80</v>
      </c>
      <c r="Z18" s="1" t="s">
        <v>74</v>
      </c>
      <c r="AA18" s="1" t="s">
        <v>61</v>
      </c>
      <c r="AB18" s="1" t="s">
        <v>62</v>
      </c>
      <c r="AC18" s="1" t="s">
        <v>88</v>
      </c>
      <c r="AD18" s="1" t="s">
        <v>64</v>
      </c>
      <c r="AE18" s="1" t="s">
        <v>122</v>
      </c>
      <c r="AF18" s="1">
        <v>1.01</v>
      </c>
      <c r="AG18" s="1">
        <v>4.54</v>
      </c>
      <c r="AH18" s="1">
        <v>4.51</v>
      </c>
      <c r="AI18" s="1">
        <v>2.81</v>
      </c>
      <c r="AJ18" s="1">
        <v>4</v>
      </c>
      <c r="AK18" s="1">
        <v>58</v>
      </c>
      <c r="AL18" s="1">
        <v>62</v>
      </c>
      <c r="AM18" s="1">
        <v>35</v>
      </c>
      <c r="AN18" s="1">
        <v>15</v>
      </c>
      <c r="AO18" s="1">
        <v>41</v>
      </c>
      <c r="AP18" s="1">
        <v>43.5</v>
      </c>
      <c r="AQ18" s="1" t="s">
        <v>66</v>
      </c>
      <c r="AR18" s="1" t="s">
        <v>67</v>
      </c>
      <c r="AS18" s="1" t="s">
        <v>57</v>
      </c>
      <c r="AT18" s="1" t="s">
        <v>68</v>
      </c>
      <c r="AU18" s="1" t="s">
        <v>57</v>
      </c>
    </row>
    <row r="19" spans="1:47">
      <c r="A19" s="1">
        <v>16</v>
      </c>
      <c r="B19" s="1" t="s">
        <v>111</v>
      </c>
      <c r="C19" s="1" t="s">
        <v>123</v>
      </c>
      <c r="D19" s="6">
        <v>0.34</v>
      </c>
      <c r="E19" s="1" t="s">
        <v>49</v>
      </c>
      <c r="F19" s="1" t="s">
        <v>71</v>
      </c>
      <c r="G19" s="1" t="s">
        <v>51</v>
      </c>
      <c r="H19" s="1" t="s">
        <v>52</v>
      </c>
      <c r="I19" s="1" t="s">
        <v>52</v>
      </c>
      <c r="J19" s="1" t="s">
        <v>52</v>
      </c>
      <c r="K19" s="1" t="s">
        <v>53</v>
      </c>
      <c r="L19" s="8" t="str">
        <f>HYPERLINK("https://www.sheetal.co/Details/StoneDetails/?stoneno=RS19751","YES")</f>
        <v>YES</v>
      </c>
      <c r="M19" s="8" t="str">
        <f>HYPERLINK("https://www.sheetal.co/Details/StoneDetails/?stoneno=RS19751","YES")</f>
        <v>YES</v>
      </c>
      <c r="N19" s="8" t="str">
        <f>HYPERLINK("https://www.sheetal.co/certificate/2517196095.pdf","2517196095")</f>
        <v>2517196095</v>
      </c>
      <c r="O19" s="6">
        <v>1700</v>
      </c>
      <c r="P19" s="6">
        <v>-45.42</v>
      </c>
      <c r="Q19" s="9">
        <v>927.86</v>
      </c>
      <c r="R19" s="6">
        <v>315.47</v>
      </c>
      <c r="S19" s="1" t="s">
        <v>58</v>
      </c>
      <c r="T19" s="1" t="s">
        <v>55</v>
      </c>
      <c r="U19" s="1" t="s">
        <v>56</v>
      </c>
      <c r="V19" s="1" t="s">
        <v>57</v>
      </c>
      <c r="W19" s="1" t="s">
        <v>58</v>
      </c>
      <c r="X19" s="1" t="s">
        <v>73</v>
      </c>
      <c r="Y19" s="1" t="s">
        <v>80</v>
      </c>
      <c r="Z19" s="1" t="s">
        <v>74</v>
      </c>
      <c r="AA19" s="1" t="s">
        <v>87</v>
      </c>
      <c r="AB19" s="1" t="s">
        <v>93</v>
      </c>
      <c r="AC19" s="1" t="s">
        <v>63</v>
      </c>
      <c r="AD19" s="1" t="s">
        <v>82</v>
      </c>
      <c r="AE19" s="1" t="s">
        <v>118</v>
      </c>
      <c r="AF19" s="1">
        <v>1.01</v>
      </c>
      <c r="AG19" s="1">
        <v>4.51</v>
      </c>
      <c r="AH19" s="1">
        <v>4.48</v>
      </c>
      <c r="AI19" s="1">
        <v>2.76</v>
      </c>
      <c r="AJ19" s="1">
        <v>3.5</v>
      </c>
      <c r="AK19" s="1">
        <v>59</v>
      </c>
      <c r="AL19" s="1">
        <v>61.5</v>
      </c>
      <c r="AM19" s="1">
        <v>35</v>
      </c>
      <c r="AN19" s="1">
        <v>14.5</v>
      </c>
      <c r="AO19" s="1">
        <v>41.2</v>
      </c>
      <c r="AP19" s="1">
        <v>43.5</v>
      </c>
      <c r="AQ19" s="1" t="s">
        <v>66</v>
      </c>
      <c r="AR19" s="1" t="s">
        <v>67</v>
      </c>
      <c r="AS19" s="1" t="s">
        <v>57</v>
      </c>
      <c r="AT19" s="1" t="s">
        <v>68</v>
      </c>
      <c r="AU19" s="1" t="s">
        <v>110</v>
      </c>
    </row>
    <row r="20" spans="1:47">
      <c r="A20" s="1">
        <v>17</v>
      </c>
      <c r="B20" s="1" t="s">
        <v>111</v>
      </c>
      <c r="C20" s="1" t="s">
        <v>124</v>
      </c>
      <c r="D20" s="6">
        <v>0.34</v>
      </c>
      <c r="E20" s="1" t="s">
        <v>49</v>
      </c>
      <c r="F20" s="1" t="s">
        <v>71</v>
      </c>
      <c r="G20" s="1" t="s">
        <v>51</v>
      </c>
      <c r="H20" s="1" t="s">
        <v>52</v>
      </c>
      <c r="I20" s="1" t="s">
        <v>52</v>
      </c>
      <c r="J20" s="1" t="s">
        <v>52</v>
      </c>
      <c r="K20" s="1" t="s">
        <v>53</v>
      </c>
      <c r="L20" s="8" t="str">
        <f>HYPERLINK("https://www.sheetal.co/Details/StoneDetails/?stoneno=RS15077","YES")</f>
        <v>YES</v>
      </c>
      <c r="M20" s="8" t="str">
        <f>HYPERLINK("https://www.sheetal.co/Details/StoneDetails/?stoneno=RS15077","YES")</f>
        <v>YES</v>
      </c>
      <c r="N20" s="8" t="str">
        <f>HYPERLINK("https://www.sheetal.co/certificate/2508846994.pdf","2508846994")</f>
        <v>2508846994</v>
      </c>
      <c r="O20" s="6">
        <v>1700</v>
      </c>
      <c r="P20" s="6">
        <v>-47.74</v>
      </c>
      <c r="Q20" s="9">
        <v>888.42</v>
      </c>
      <c r="R20" s="6">
        <v>302.06</v>
      </c>
      <c r="S20" s="1" t="s">
        <v>58</v>
      </c>
      <c r="T20" s="1" t="s">
        <v>55</v>
      </c>
      <c r="U20" s="1" t="s">
        <v>56</v>
      </c>
      <c r="V20" s="1" t="s">
        <v>57</v>
      </c>
      <c r="W20" s="1" t="s">
        <v>58</v>
      </c>
      <c r="X20" s="1" t="s">
        <v>73</v>
      </c>
      <c r="Y20" s="1" t="s">
        <v>59</v>
      </c>
      <c r="Z20" s="1" t="s">
        <v>74</v>
      </c>
      <c r="AA20" s="1" t="s">
        <v>61</v>
      </c>
      <c r="AB20" s="1" t="s">
        <v>62</v>
      </c>
      <c r="AC20" s="1" t="s">
        <v>63</v>
      </c>
      <c r="AD20" s="1" t="s">
        <v>61</v>
      </c>
      <c r="AE20" s="1" t="s">
        <v>83</v>
      </c>
      <c r="AF20" s="1">
        <v>1</v>
      </c>
      <c r="AG20" s="1">
        <v>4.51</v>
      </c>
      <c r="AH20" s="1">
        <v>4.49</v>
      </c>
      <c r="AI20" s="1">
        <v>2.77</v>
      </c>
      <c r="AJ20" s="1">
        <v>4</v>
      </c>
      <c r="AK20" s="1">
        <v>59</v>
      </c>
      <c r="AL20" s="1">
        <v>61.4</v>
      </c>
      <c r="AM20" s="1">
        <v>33</v>
      </c>
      <c r="AN20" s="1">
        <v>13.5</v>
      </c>
      <c r="AO20" s="1">
        <v>41.4</v>
      </c>
      <c r="AP20" s="1">
        <v>44</v>
      </c>
      <c r="AQ20" s="1" t="s">
        <v>66</v>
      </c>
      <c r="AR20" s="1" t="s">
        <v>67</v>
      </c>
      <c r="AS20" s="1" t="s">
        <v>57</v>
      </c>
      <c r="AT20" s="1" t="s">
        <v>68</v>
      </c>
      <c r="AU20" s="1" t="s">
        <v>57</v>
      </c>
    </row>
    <row r="21" spans="1:47">
      <c r="A21" s="1">
        <v>18</v>
      </c>
      <c r="B21" s="1" t="s">
        <v>111</v>
      </c>
      <c r="C21" s="1" t="s">
        <v>125</v>
      </c>
      <c r="D21" s="6">
        <v>0.34</v>
      </c>
      <c r="E21" s="1" t="s">
        <v>49</v>
      </c>
      <c r="F21" s="1" t="s">
        <v>71</v>
      </c>
      <c r="G21" s="1" t="s">
        <v>51</v>
      </c>
      <c r="H21" s="1" t="s">
        <v>52</v>
      </c>
      <c r="I21" s="1" t="s">
        <v>52</v>
      </c>
      <c r="J21" s="1" t="s">
        <v>52</v>
      </c>
      <c r="K21" s="1" t="s">
        <v>53</v>
      </c>
      <c r="L21" s="8" t="str">
        <f>HYPERLINK("https://www.sheetal.co/Details/StoneDetails/?stoneno=RS15114","YES")</f>
        <v>YES</v>
      </c>
      <c r="M21" s="8" t="str">
        <f>HYPERLINK("https://www.sheetal.co/Details/StoneDetails/?stoneno=RS15114","YES")</f>
        <v>YES</v>
      </c>
      <c r="N21" s="8" t="str">
        <f>HYPERLINK("https://www.sheetal.co/certificate/7503847528.pdf","7503847528")</f>
        <v>7503847528</v>
      </c>
      <c r="O21" s="6">
        <v>1700</v>
      </c>
      <c r="P21" s="6">
        <v>-42.1</v>
      </c>
      <c r="Q21" s="9">
        <v>984.3</v>
      </c>
      <c r="R21" s="6">
        <v>334.66</v>
      </c>
      <c r="S21" s="1" t="s">
        <v>58</v>
      </c>
      <c r="T21" s="1" t="s">
        <v>55</v>
      </c>
      <c r="U21" s="1" t="s">
        <v>56</v>
      </c>
      <c r="V21" s="1" t="s">
        <v>57</v>
      </c>
      <c r="W21" s="1" t="s">
        <v>58</v>
      </c>
      <c r="X21" s="1" t="s">
        <v>73</v>
      </c>
      <c r="Y21" s="1" t="s">
        <v>59</v>
      </c>
      <c r="Z21" s="1" t="s">
        <v>74</v>
      </c>
      <c r="AA21" s="1" t="s">
        <v>81</v>
      </c>
      <c r="AB21" s="1" t="s">
        <v>62</v>
      </c>
      <c r="AC21" s="1" t="s">
        <v>63</v>
      </c>
      <c r="AD21" s="1" t="s">
        <v>82</v>
      </c>
      <c r="AE21" s="1" t="s">
        <v>126</v>
      </c>
      <c r="AF21" s="1">
        <v>1</v>
      </c>
      <c r="AG21" s="1">
        <v>4.51</v>
      </c>
      <c r="AH21" s="1">
        <v>4.5</v>
      </c>
      <c r="AI21" s="1">
        <v>2.78</v>
      </c>
      <c r="AJ21" s="1">
        <v>4</v>
      </c>
      <c r="AK21" s="1">
        <v>58</v>
      </c>
      <c r="AL21" s="1">
        <v>61.7</v>
      </c>
      <c r="AM21" s="1">
        <v>33.5</v>
      </c>
      <c r="AN21" s="1">
        <v>14</v>
      </c>
      <c r="AO21" s="1">
        <v>41.4</v>
      </c>
      <c r="AP21" s="1">
        <v>44</v>
      </c>
      <c r="AQ21" s="1" t="s">
        <v>102</v>
      </c>
      <c r="AR21" s="1" t="s">
        <v>67</v>
      </c>
      <c r="AS21" s="1" t="s">
        <v>57</v>
      </c>
      <c r="AT21" s="1" t="s">
        <v>68</v>
      </c>
      <c r="AU21" s="1" t="s">
        <v>57</v>
      </c>
    </row>
    <row r="22" spans="1:47">
      <c r="A22" s="1">
        <v>19</v>
      </c>
      <c r="B22" s="1" t="s">
        <v>111</v>
      </c>
      <c r="C22" s="1" t="s">
        <v>127</v>
      </c>
      <c r="D22" s="6">
        <v>0.33</v>
      </c>
      <c r="E22" s="1" t="s">
        <v>49</v>
      </c>
      <c r="F22" s="1" t="s">
        <v>71</v>
      </c>
      <c r="G22" s="1" t="s">
        <v>51</v>
      </c>
      <c r="H22" s="1" t="s">
        <v>52</v>
      </c>
      <c r="I22" s="1" t="s">
        <v>52</v>
      </c>
      <c r="J22" s="1" t="s">
        <v>52</v>
      </c>
      <c r="K22" s="1" t="s">
        <v>53</v>
      </c>
      <c r="L22" s="8" t="str">
        <f>HYPERLINK("https://www.sheetal.co/Details/StoneDetails/?stoneno=AM29248","YES")</f>
        <v>YES</v>
      </c>
      <c r="M22" s="8" t="str">
        <f>HYPERLINK("https://www.sheetal.co/Details/StoneDetails/?stoneno=AM29248","YES")</f>
        <v>YES</v>
      </c>
      <c r="N22" s="8" t="str">
        <f>HYPERLINK("https://www.sheetal.co/certificate/6512205498.pdf","6512205498")</f>
        <v>6512205498</v>
      </c>
      <c r="O22" s="6">
        <v>1700</v>
      </c>
      <c r="P22" s="6">
        <v>-48.2</v>
      </c>
      <c r="Q22" s="9">
        <v>880.6</v>
      </c>
      <c r="R22" s="6">
        <v>290.6</v>
      </c>
      <c r="S22" s="1" t="s">
        <v>54</v>
      </c>
      <c r="T22" s="1" t="s">
        <v>55</v>
      </c>
      <c r="U22" s="1" t="s">
        <v>56</v>
      </c>
      <c r="V22" s="1" t="s">
        <v>57</v>
      </c>
      <c r="W22" s="1" t="s">
        <v>58</v>
      </c>
      <c r="X22" s="1" t="s">
        <v>73</v>
      </c>
      <c r="Y22" s="1" t="s">
        <v>80</v>
      </c>
      <c r="Z22" s="1" t="s">
        <v>74</v>
      </c>
      <c r="AA22" s="1" t="s">
        <v>61</v>
      </c>
      <c r="AB22" s="1" t="s">
        <v>62</v>
      </c>
      <c r="AC22" s="1" t="s">
        <v>63</v>
      </c>
      <c r="AD22" s="1" t="s">
        <v>61</v>
      </c>
      <c r="AE22" s="1" t="s">
        <v>83</v>
      </c>
      <c r="AF22" s="1">
        <v>1.01</v>
      </c>
      <c r="AG22" s="1">
        <v>4.43</v>
      </c>
      <c r="AH22" s="1">
        <v>4.4</v>
      </c>
      <c r="AI22" s="1">
        <v>2.75</v>
      </c>
      <c r="AJ22" s="1">
        <v>3.5</v>
      </c>
      <c r="AK22" s="1">
        <v>56</v>
      </c>
      <c r="AL22" s="1">
        <v>62.2</v>
      </c>
      <c r="AM22" s="1">
        <v>35.5</v>
      </c>
      <c r="AN22" s="1">
        <v>15.5</v>
      </c>
      <c r="AO22" s="1">
        <v>40.8</v>
      </c>
      <c r="AP22" s="1">
        <v>43</v>
      </c>
      <c r="AQ22" s="1" t="s">
        <v>66</v>
      </c>
      <c r="AR22" s="1" t="s">
        <v>67</v>
      </c>
      <c r="AS22" s="1" t="s">
        <v>57</v>
      </c>
      <c r="AT22" s="1" t="s">
        <v>68</v>
      </c>
      <c r="AU22" s="1" t="s">
        <v>57</v>
      </c>
    </row>
    <row r="23" spans="1:47">
      <c r="A23" s="1">
        <v>20</v>
      </c>
      <c r="B23" s="1" t="s">
        <v>111</v>
      </c>
      <c r="C23" s="1" t="s">
        <v>128</v>
      </c>
      <c r="D23" s="6">
        <v>0.33</v>
      </c>
      <c r="E23" s="1" t="s">
        <v>49</v>
      </c>
      <c r="F23" s="1" t="s">
        <v>113</v>
      </c>
      <c r="G23" s="1" t="s">
        <v>86</v>
      </c>
      <c r="H23" s="1" t="s">
        <v>52</v>
      </c>
      <c r="I23" s="1" t="s">
        <v>52</v>
      </c>
      <c r="J23" s="1" t="s">
        <v>52</v>
      </c>
      <c r="K23" s="1" t="s">
        <v>53</v>
      </c>
      <c r="L23" s="8" t="str">
        <f>HYPERLINK("https://www.sheetal.co/Details/StoneDetails/?stoneno=AM30089","YES")</f>
        <v>YES</v>
      </c>
      <c r="M23" s="8" t="str">
        <f>HYPERLINK("https://www.sheetal.co/Details/StoneDetails/?stoneno=AM30089","YES")</f>
        <v>YES</v>
      </c>
      <c r="N23" s="8" t="str">
        <f>HYPERLINK("https://www.sheetal.co/certificate/6511331143.pdf","6511331143")</f>
        <v>6511331143</v>
      </c>
      <c r="O23" s="6">
        <v>1500</v>
      </c>
      <c r="P23" s="6">
        <v>-40.42</v>
      </c>
      <c r="Q23" s="9">
        <v>893.7</v>
      </c>
      <c r="R23" s="6">
        <v>294.92</v>
      </c>
      <c r="S23" s="1" t="s">
        <v>58</v>
      </c>
      <c r="T23" s="1" t="s">
        <v>55</v>
      </c>
      <c r="U23" s="1" t="s">
        <v>56</v>
      </c>
      <c r="V23" s="1" t="s">
        <v>57</v>
      </c>
      <c r="W23" s="1" t="s">
        <v>58</v>
      </c>
      <c r="X23" s="1" t="s">
        <v>73</v>
      </c>
      <c r="Y23" s="1" t="s">
        <v>80</v>
      </c>
      <c r="Z23" s="1" t="s">
        <v>74</v>
      </c>
      <c r="AA23" s="1" t="s">
        <v>81</v>
      </c>
      <c r="AB23" s="1" t="s">
        <v>93</v>
      </c>
      <c r="AC23" s="1" t="s">
        <v>88</v>
      </c>
      <c r="AD23" s="1" t="s">
        <v>82</v>
      </c>
      <c r="AE23" s="1" t="s">
        <v>114</v>
      </c>
      <c r="AF23" s="1">
        <v>1.01</v>
      </c>
      <c r="AG23" s="1">
        <v>4.44</v>
      </c>
      <c r="AH23" s="1">
        <v>4.41</v>
      </c>
      <c r="AI23" s="1">
        <v>2.75</v>
      </c>
      <c r="AJ23" s="1">
        <v>4</v>
      </c>
      <c r="AK23" s="1">
        <v>57</v>
      </c>
      <c r="AL23" s="1">
        <v>62.1</v>
      </c>
      <c r="AM23" s="1">
        <v>35</v>
      </c>
      <c r="AN23" s="1">
        <v>15</v>
      </c>
      <c r="AO23" s="1">
        <v>41</v>
      </c>
      <c r="AP23" s="1">
        <v>43</v>
      </c>
      <c r="AQ23" s="1" t="s">
        <v>66</v>
      </c>
      <c r="AR23" s="1" t="s">
        <v>67</v>
      </c>
      <c r="AS23" s="1" t="s">
        <v>57</v>
      </c>
      <c r="AT23" s="1" t="s">
        <v>68</v>
      </c>
      <c r="AU23" s="1" t="s">
        <v>57</v>
      </c>
    </row>
    <row r="24" spans="1:47">
      <c r="A24" s="1">
        <v>21</v>
      </c>
      <c r="B24" s="1" t="s">
        <v>111</v>
      </c>
      <c r="C24" s="1" t="s">
        <v>129</v>
      </c>
      <c r="D24" s="6">
        <v>0.33</v>
      </c>
      <c r="E24" s="1" t="s">
        <v>49</v>
      </c>
      <c r="F24" s="1" t="s">
        <v>92</v>
      </c>
      <c r="G24" s="1" t="s">
        <v>86</v>
      </c>
      <c r="H24" s="1" t="s">
        <v>52</v>
      </c>
      <c r="I24" s="1" t="s">
        <v>52</v>
      </c>
      <c r="J24" s="1" t="s">
        <v>52</v>
      </c>
      <c r="K24" s="1" t="s">
        <v>53</v>
      </c>
      <c r="L24" s="8" t="str">
        <f>HYPERLINK("https://www.sheetal.co/Details/StoneDetails/?stoneno=AM29947","YES")</f>
        <v>YES</v>
      </c>
      <c r="M24" s="8" t="str">
        <f>HYPERLINK("https://www.sheetal.co/Details/StoneDetails/?stoneno=AM29947","YES")</f>
        <v>YES</v>
      </c>
      <c r="N24" s="8" t="str">
        <f>HYPERLINK("https://www.sheetal.co/certificate/2517331334.pdf","2517331334")</f>
        <v>2517331334</v>
      </c>
      <c r="O24" s="6">
        <v>1400</v>
      </c>
      <c r="P24" s="6">
        <v>-45.71</v>
      </c>
      <c r="Q24" s="9">
        <v>760.06</v>
      </c>
      <c r="R24" s="6">
        <v>250.82</v>
      </c>
      <c r="S24" s="1" t="s">
        <v>58</v>
      </c>
      <c r="T24" s="1" t="s">
        <v>55</v>
      </c>
      <c r="U24" s="1" t="s">
        <v>56</v>
      </c>
      <c r="V24" s="1" t="s">
        <v>57</v>
      </c>
      <c r="W24" s="1" t="s">
        <v>54</v>
      </c>
      <c r="X24" s="1" t="s">
        <v>73</v>
      </c>
      <c r="Y24" s="1" t="s">
        <v>59</v>
      </c>
      <c r="Z24" s="1" t="s">
        <v>74</v>
      </c>
      <c r="AA24" s="1" t="s">
        <v>87</v>
      </c>
      <c r="AB24" s="1" t="s">
        <v>93</v>
      </c>
      <c r="AC24" s="1" t="s">
        <v>88</v>
      </c>
      <c r="AD24" s="1" t="s">
        <v>82</v>
      </c>
      <c r="AE24" s="1" t="s">
        <v>130</v>
      </c>
      <c r="AF24" s="1">
        <v>1</v>
      </c>
      <c r="AG24" s="1">
        <v>4.41</v>
      </c>
      <c r="AH24" s="1">
        <v>4.4</v>
      </c>
      <c r="AI24" s="1">
        <v>2.76</v>
      </c>
      <c r="AJ24" s="1">
        <v>4</v>
      </c>
      <c r="AK24" s="1">
        <v>57</v>
      </c>
      <c r="AL24" s="1">
        <v>62.6</v>
      </c>
      <c r="AM24" s="1">
        <v>35</v>
      </c>
      <c r="AN24" s="1">
        <v>15.5</v>
      </c>
      <c r="AO24" s="1">
        <v>41</v>
      </c>
      <c r="AP24" s="1">
        <v>43.5</v>
      </c>
      <c r="AQ24" s="1" t="s">
        <v>102</v>
      </c>
      <c r="AR24" s="1" t="s">
        <v>67</v>
      </c>
      <c r="AS24" s="1" t="s">
        <v>57</v>
      </c>
      <c r="AT24" s="1" t="s">
        <v>68</v>
      </c>
      <c r="AU24" s="1" t="s">
        <v>57</v>
      </c>
    </row>
    <row r="25" spans="1:47">
      <c r="A25" s="1">
        <v>22</v>
      </c>
      <c r="B25" s="1" t="s">
        <v>111</v>
      </c>
      <c r="C25" s="1" t="s">
        <v>131</v>
      </c>
      <c r="D25" s="6">
        <v>0.32</v>
      </c>
      <c r="E25" s="1" t="s">
        <v>49</v>
      </c>
      <c r="F25" s="1" t="s">
        <v>71</v>
      </c>
      <c r="G25" s="1" t="s">
        <v>72</v>
      </c>
      <c r="H25" s="1" t="s">
        <v>52</v>
      </c>
      <c r="I25" s="1" t="s">
        <v>52</v>
      </c>
      <c r="J25" s="1" t="s">
        <v>52</v>
      </c>
      <c r="K25" s="1" t="s">
        <v>53</v>
      </c>
      <c r="L25" s="8" t="str">
        <f>HYPERLINK("https://www.sheetal.co/Details/StoneDetails/?stoneno=AM30990","YES")</f>
        <v>YES</v>
      </c>
      <c r="M25" s="8" t="str">
        <f>HYPERLINK("https://www.sheetal.co/Details/StoneDetails/?stoneno=AM30990","YES")</f>
        <v>YES</v>
      </c>
      <c r="N25" s="8" t="str">
        <f>HYPERLINK("https://www.sheetal.co/certificate/6511333138.pdf","6511333138")</f>
        <v>6511333138</v>
      </c>
      <c r="O25" s="6">
        <v>1800</v>
      </c>
      <c r="P25" s="6">
        <v>-41.48</v>
      </c>
      <c r="Q25" s="9">
        <v>1053.36</v>
      </c>
      <c r="R25" s="6">
        <v>337.07</v>
      </c>
      <c r="S25" s="1" t="s">
        <v>58</v>
      </c>
      <c r="T25" s="1" t="s">
        <v>55</v>
      </c>
      <c r="U25" s="1" t="s">
        <v>56</v>
      </c>
      <c r="V25" s="1" t="s">
        <v>57</v>
      </c>
      <c r="W25" s="1" t="s">
        <v>58</v>
      </c>
      <c r="X25" s="1" t="s">
        <v>73</v>
      </c>
      <c r="Y25" s="1" t="s">
        <v>80</v>
      </c>
      <c r="Z25" s="1" t="s">
        <v>74</v>
      </c>
      <c r="AA25" s="1" t="s">
        <v>61</v>
      </c>
      <c r="AB25" s="1" t="s">
        <v>62</v>
      </c>
      <c r="AC25" s="1" t="s">
        <v>63</v>
      </c>
      <c r="AD25" s="1" t="s">
        <v>61</v>
      </c>
      <c r="AE25" s="1" t="s">
        <v>132</v>
      </c>
      <c r="AF25" s="1">
        <v>1</v>
      </c>
      <c r="AG25" s="1">
        <v>4.39</v>
      </c>
      <c r="AH25" s="1">
        <v>4.38</v>
      </c>
      <c r="AI25" s="1">
        <v>2.73</v>
      </c>
      <c r="AJ25" s="1">
        <v>4</v>
      </c>
      <c r="AK25" s="1">
        <v>56</v>
      </c>
      <c r="AL25" s="1">
        <v>62.2</v>
      </c>
      <c r="AM25" s="1">
        <v>35</v>
      </c>
      <c r="AN25" s="1">
        <v>15.5</v>
      </c>
      <c r="AO25" s="1">
        <v>40.8</v>
      </c>
      <c r="AP25" s="1">
        <v>43</v>
      </c>
      <c r="AQ25" s="1" t="s">
        <v>66</v>
      </c>
      <c r="AR25" s="1" t="s">
        <v>67</v>
      </c>
      <c r="AS25" s="1" t="s">
        <v>57</v>
      </c>
      <c r="AT25" s="1" t="s">
        <v>68</v>
      </c>
      <c r="AU25" s="1" t="s">
        <v>110</v>
      </c>
    </row>
    <row r="26" spans="1:47">
      <c r="A26" s="1">
        <v>23</v>
      </c>
      <c r="B26" s="1" t="s">
        <v>111</v>
      </c>
      <c r="C26" s="1" t="s">
        <v>133</v>
      </c>
      <c r="D26" s="6">
        <v>0.32</v>
      </c>
      <c r="E26" s="1" t="s">
        <v>49</v>
      </c>
      <c r="F26" s="1" t="s">
        <v>71</v>
      </c>
      <c r="G26" s="1" t="s">
        <v>51</v>
      </c>
      <c r="H26" s="1" t="s">
        <v>52</v>
      </c>
      <c r="I26" s="1" t="s">
        <v>79</v>
      </c>
      <c r="J26" s="1" t="s">
        <v>52</v>
      </c>
      <c r="K26" s="1" t="s">
        <v>53</v>
      </c>
      <c r="L26" s="8" t="str">
        <f>HYPERLINK("https://www.sheetal.co/Details/StoneDetails/?stoneno=AM28550","YES")</f>
        <v>YES</v>
      </c>
      <c r="M26" s="8" t="str">
        <f>HYPERLINK("https://www.sheetal.co/Details/StoneDetails/?stoneno=AM28550","YES")</f>
        <v>YES</v>
      </c>
      <c r="N26" s="8" t="str">
        <f>HYPERLINK("https://www.sheetal.co/certificate/6512208006.pdf","6512208006")</f>
        <v>6512208006</v>
      </c>
      <c r="O26" s="6">
        <v>1700</v>
      </c>
      <c r="P26" s="6">
        <v>-50.27</v>
      </c>
      <c r="Q26" s="9">
        <v>845.41</v>
      </c>
      <c r="R26" s="6">
        <v>270.53</v>
      </c>
      <c r="S26" s="1" t="s">
        <v>54</v>
      </c>
      <c r="T26" s="1" t="s">
        <v>55</v>
      </c>
      <c r="U26" s="1" t="s">
        <v>56</v>
      </c>
      <c r="V26" s="1" t="s">
        <v>57</v>
      </c>
      <c r="W26" s="1" t="s">
        <v>58</v>
      </c>
      <c r="X26" s="1" t="s">
        <v>73</v>
      </c>
      <c r="Y26" s="1" t="s">
        <v>80</v>
      </c>
      <c r="Z26" s="1" t="s">
        <v>60</v>
      </c>
      <c r="AA26" s="1" t="s">
        <v>87</v>
      </c>
      <c r="AB26" s="1" t="s">
        <v>62</v>
      </c>
      <c r="AC26" s="1" t="s">
        <v>63</v>
      </c>
      <c r="AD26" s="1" t="s">
        <v>82</v>
      </c>
      <c r="AE26" s="1" t="s">
        <v>118</v>
      </c>
      <c r="AF26" s="1">
        <v>1</v>
      </c>
      <c r="AG26" s="1">
        <v>4.41</v>
      </c>
      <c r="AH26" s="1">
        <v>4.4</v>
      </c>
      <c r="AI26" s="1">
        <v>2.73</v>
      </c>
      <c r="AJ26" s="1">
        <v>4</v>
      </c>
      <c r="AK26" s="1">
        <v>56</v>
      </c>
      <c r="AL26" s="1">
        <v>62</v>
      </c>
      <c r="AM26" s="1">
        <v>34.5</v>
      </c>
      <c r="AN26" s="1">
        <v>15.5</v>
      </c>
      <c r="AO26" s="1">
        <v>40.8</v>
      </c>
      <c r="AP26" s="1">
        <v>43</v>
      </c>
      <c r="AQ26" s="1" t="s">
        <v>66</v>
      </c>
      <c r="AR26" s="1" t="s">
        <v>67</v>
      </c>
      <c r="AS26" s="1" t="s">
        <v>57</v>
      </c>
      <c r="AT26" s="1" t="s">
        <v>68</v>
      </c>
      <c r="AU26" s="1" t="s">
        <v>57</v>
      </c>
    </row>
    <row r="27" spans="1:47">
      <c r="A27" s="1">
        <v>24</v>
      </c>
      <c r="B27" s="1" t="s">
        <v>111</v>
      </c>
      <c r="C27" s="1" t="s">
        <v>134</v>
      </c>
      <c r="D27" s="6">
        <v>0.32</v>
      </c>
      <c r="E27" s="1" t="s">
        <v>49</v>
      </c>
      <c r="F27" s="1" t="s">
        <v>113</v>
      </c>
      <c r="G27" s="1" t="s">
        <v>51</v>
      </c>
      <c r="H27" s="1" t="s">
        <v>52</v>
      </c>
      <c r="I27" s="1" t="s">
        <v>52</v>
      </c>
      <c r="J27" s="1" t="s">
        <v>52</v>
      </c>
      <c r="K27" s="1" t="s">
        <v>53</v>
      </c>
      <c r="L27" s="8" t="str">
        <f>HYPERLINK("https://www.sheetal.co/Details/StoneDetails/?stoneno=FMS03681","YES")</f>
        <v>YES</v>
      </c>
      <c r="M27" s="8" t="str">
        <f>HYPERLINK("https://www.sheetal.co/Details/StoneDetails/?stoneno=FMS03681","YES")</f>
        <v>YES</v>
      </c>
      <c r="N27" s="8" t="str">
        <f>HYPERLINK("https://www.sheetal.co/certificate/2507767573.pdf","2507767573")</f>
        <v>2507767573</v>
      </c>
      <c r="O27" s="6">
        <v>1600</v>
      </c>
      <c r="P27" s="6">
        <v>-47.06</v>
      </c>
      <c r="Q27" s="9">
        <v>847.04</v>
      </c>
      <c r="R27" s="6">
        <v>271.05</v>
      </c>
      <c r="S27" s="1" t="s">
        <v>58</v>
      </c>
      <c r="T27" s="1" t="s">
        <v>55</v>
      </c>
      <c r="U27" s="1" t="s">
        <v>56</v>
      </c>
      <c r="V27" s="1" t="s">
        <v>57</v>
      </c>
      <c r="W27" s="1" t="s">
        <v>58</v>
      </c>
      <c r="X27" s="1" t="s">
        <v>73</v>
      </c>
      <c r="Y27" s="1" t="s">
        <v>80</v>
      </c>
      <c r="Z27" s="1" t="s">
        <v>74</v>
      </c>
      <c r="AA27" s="1" t="s">
        <v>87</v>
      </c>
      <c r="AB27" s="1" t="s">
        <v>62</v>
      </c>
      <c r="AC27" s="1" t="s">
        <v>63</v>
      </c>
      <c r="AD27" s="1" t="s">
        <v>82</v>
      </c>
      <c r="AE27" s="1" t="s">
        <v>116</v>
      </c>
      <c r="AF27" s="1">
        <v>1</v>
      </c>
      <c r="AG27" s="1">
        <v>4.38</v>
      </c>
      <c r="AH27" s="1">
        <v>4.36</v>
      </c>
      <c r="AI27" s="1">
        <v>2.72</v>
      </c>
      <c r="AJ27" s="1">
        <v>4</v>
      </c>
      <c r="AK27" s="1">
        <v>58</v>
      </c>
      <c r="AL27" s="1">
        <v>62.1</v>
      </c>
      <c r="AM27" s="1">
        <v>35.5</v>
      </c>
      <c r="AN27" s="1">
        <v>15</v>
      </c>
      <c r="AO27" s="1">
        <v>41</v>
      </c>
      <c r="AP27" s="1">
        <v>43.5</v>
      </c>
      <c r="AQ27" s="1" t="s">
        <v>102</v>
      </c>
      <c r="AR27" s="1" t="s">
        <v>67</v>
      </c>
      <c r="AS27" s="1" t="s">
        <v>57</v>
      </c>
      <c r="AT27" s="1" t="s">
        <v>68</v>
      </c>
      <c r="AU27" s="1" t="s">
        <v>57</v>
      </c>
    </row>
    <row r="28" spans="1:47">
      <c r="A28" s="1">
        <v>25</v>
      </c>
      <c r="B28" s="1" t="s">
        <v>111</v>
      </c>
      <c r="C28" s="1" t="s">
        <v>135</v>
      </c>
      <c r="D28" s="6">
        <v>0.32</v>
      </c>
      <c r="E28" s="1" t="s">
        <v>49</v>
      </c>
      <c r="F28" s="1" t="s">
        <v>113</v>
      </c>
      <c r="G28" s="1" t="s">
        <v>86</v>
      </c>
      <c r="H28" s="1" t="s">
        <v>52</v>
      </c>
      <c r="I28" s="1" t="s">
        <v>52</v>
      </c>
      <c r="J28" s="1" t="s">
        <v>52</v>
      </c>
      <c r="K28" s="1" t="s">
        <v>53</v>
      </c>
      <c r="L28" s="8" t="str">
        <f>HYPERLINK("https://www.sheetal.co/Details/StoneDetails/?stoneno=AM30319","YES")</f>
        <v>YES</v>
      </c>
      <c r="M28" s="8" t="str">
        <f>HYPERLINK("https://www.sheetal.co/Details/StoneDetails/?stoneno=AM30319","YES")</f>
        <v>YES</v>
      </c>
      <c r="N28" s="8" t="str">
        <f>HYPERLINK("https://www.sheetal.co/certificate/2518331544.pdf","2518331544")</f>
        <v>2518331544</v>
      </c>
      <c r="O28" s="6">
        <v>1500</v>
      </c>
      <c r="P28" s="6">
        <v>-39.78</v>
      </c>
      <c r="Q28" s="9">
        <v>903.3</v>
      </c>
      <c r="R28" s="6">
        <v>289.06</v>
      </c>
      <c r="S28" s="1" t="s">
        <v>58</v>
      </c>
      <c r="T28" s="1" t="s">
        <v>55</v>
      </c>
      <c r="U28" s="1" t="s">
        <v>56</v>
      </c>
      <c r="V28" s="1" t="s">
        <v>57</v>
      </c>
      <c r="W28" s="1" t="s">
        <v>58</v>
      </c>
      <c r="X28" s="1" t="s">
        <v>57</v>
      </c>
      <c r="Y28" s="1" t="s">
        <v>80</v>
      </c>
      <c r="Z28" s="1" t="s">
        <v>74</v>
      </c>
      <c r="AA28" s="1" t="s">
        <v>61</v>
      </c>
      <c r="AB28" s="1" t="s">
        <v>93</v>
      </c>
      <c r="AC28" s="1" t="s">
        <v>88</v>
      </c>
      <c r="AD28" s="1" t="s">
        <v>82</v>
      </c>
      <c r="AE28" s="1" t="s">
        <v>136</v>
      </c>
      <c r="AF28" s="1">
        <v>1</v>
      </c>
      <c r="AG28" s="1">
        <v>4.38</v>
      </c>
      <c r="AH28" s="1">
        <v>4.36</v>
      </c>
      <c r="AI28" s="1">
        <v>2.71</v>
      </c>
      <c r="AJ28" s="1">
        <v>4</v>
      </c>
      <c r="AK28" s="1">
        <v>58</v>
      </c>
      <c r="AL28" s="1">
        <v>62.1</v>
      </c>
      <c r="AM28" s="1">
        <v>35</v>
      </c>
      <c r="AN28" s="1">
        <v>14.5</v>
      </c>
      <c r="AO28" s="1">
        <v>41</v>
      </c>
      <c r="AP28" s="1">
        <v>43</v>
      </c>
      <c r="AQ28" s="1" t="s">
        <v>102</v>
      </c>
      <c r="AR28" s="1" t="s">
        <v>67</v>
      </c>
      <c r="AS28" s="1" t="s">
        <v>57</v>
      </c>
      <c r="AT28" s="1" t="s">
        <v>68</v>
      </c>
      <c r="AU28" s="1" t="s">
        <v>110</v>
      </c>
    </row>
    <row r="29" spans="1:47">
      <c r="A29" s="1">
        <v>26</v>
      </c>
      <c r="B29" s="1" t="s">
        <v>111</v>
      </c>
      <c r="C29" s="1" t="s">
        <v>137</v>
      </c>
      <c r="D29" s="6">
        <v>0.32</v>
      </c>
      <c r="E29" s="1" t="s">
        <v>49</v>
      </c>
      <c r="F29" s="1" t="s">
        <v>113</v>
      </c>
      <c r="G29" s="1" t="s">
        <v>86</v>
      </c>
      <c r="H29" s="1" t="s">
        <v>52</v>
      </c>
      <c r="I29" s="1" t="s">
        <v>79</v>
      </c>
      <c r="J29" s="1" t="s">
        <v>52</v>
      </c>
      <c r="K29" s="1" t="s">
        <v>53</v>
      </c>
      <c r="L29" s="8" t="str">
        <f>HYPERLINK("https://www.sheetal.co/Details/StoneDetails/?stoneno=AM26987","YES")</f>
        <v>YES</v>
      </c>
      <c r="M29" s="8" t="str">
        <f>HYPERLINK("https://www.sheetal.co/Details/StoneDetails/?stoneno=AM26987","YES")</f>
        <v>YES</v>
      </c>
      <c r="N29" s="8" t="str">
        <f>HYPERLINK("https://www.sheetal.co/certificate/5506859644.pdf","5506859644")</f>
        <v>5506859644</v>
      </c>
      <c r="O29" s="6">
        <v>1500</v>
      </c>
      <c r="P29" s="6">
        <v>-49.65</v>
      </c>
      <c r="Q29" s="9">
        <v>755.25</v>
      </c>
      <c r="R29" s="6">
        <v>241.68</v>
      </c>
      <c r="S29" s="1" t="s">
        <v>58</v>
      </c>
      <c r="T29" s="1" t="s">
        <v>55</v>
      </c>
      <c r="U29" s="1" t="s">
        <v>56</v>
      </c>
      <c r="V29" s="1" t="s">
        <v>57</v>
      </c>
      <c r="W29" s="1" t="s">
        <v>58</v>
      </c>
      <c r="X29" s="1" t="s">
        <v>73</v>
      </c>
      <c r="Y29" s="1" t="s">
        <v>80</v>
      </c>
      <c r="Z29" s="1" t="s">
        <v>74</v>
      </c>
      <c r="AA29" s="1" t="s">
        <v>61</v>
      </c>
      <c r="AB29" s="1" t="s">
        <v>62</v>
      </c>
      <c r="AC29" s="1" t="s">
        <v>88</v>
      </c>
      <c r="AD29" s="1" t="s">
        <v>64</v>
      </c>
      <c r="AE29" s="1" t="s">
        <v>101</v>
      </c>
      <c r="AF29" s="1">
        <v>1.01</v>
      </c>
      <c r="AG29" s="1">
        <v>4.37</v>
      </c>
      <c r="AH29" s="1">
        <v>4.34</v>
      </c>
      <c r="AI29" s="1">
        <v>2.73</v>
      </c>
      <c r="AJ29" s="1">
        <v>4</v>
      </c>
      <c r="AK29" s="1">
        <v>57</v>
      </c>
      <c r="AL29" s="1">
        <v>62.7</v>
      </c>
      <c r="AM29" s="1">
        <v>35</v>
      </c>
      <c r="AN29" s="1">
        <v>15</v>
      </c>
      <c r="AO29" s="1">
        <v>41.2</v>
      </c>
      <c r="AP29" s="1">
        <v>43.5</v>
      </c>
      <c r="AQ29" s="1" t="s">
        <v>66</v>
      </c>
      <c r="AR29" s="1" t="s">
        <v>67</v>
      </c>
      <c r="AS29" s="1" t="s">
        <v>57</v>
      </c>
      <c r="AT29" s="1" t="s">
        <v>68</v>
      </c>
      <c r="AU29" s="1" t="s">
        <v>57</v>
      </c>
    </row>
    <row r="30" spans="1:47">
      <c r="A30" s="1">
        <v>27</v>
      </c>
      <c r="B30" s="1" t="s">
        <v>111</v>
      </c>
      <c r="C30" s="1" t="s">
        <v>138</v>
      </c>
      <c r="D30" s="6">
        <v>0.31</v>
      </c>
      <c r="E30" s="1" t="s">
        <v>49</v>
      </c>
      <c r="F30" s="1" t="s">
        <v>71</v>
      </c>
      <c r="G30" s="1" t="s">
        <v>86</v>
      </c>
      <c r="H30" s="1" t="s">
        <v>52</v>
      </c>
      <c r="I30" s="1" t="s">
        <v>52</v>
      </c>
      <c r="J30" s="1" t="s">
        <v>52</v>
      </c>
      <c r="K30" s="1" t="s">
        <v>53</v>
      </c>
      <c r="L30" s="8" t="str">
        <f>HYPERLINK("https://www.sheetal.co/Details/StoneDetails/?stoneno=RS20451","YES")</f>
        <v>YES</v>
      </c>
      <c r="M30" s="8" t="str">
        <f>HYPERLINK("https://www.sheetal.co/Details/StoneDetails/?stoneno=RS20451","YES")</f>
        <v>YES</v>
      </c>
      <c r="N30" s="8" t="str">
        <f>HYPERLINK("https://www.sheetal.co/certificate/2516195592.pdf","2516195592")</f>
        <v>2516195592</v>
      </c>
      <c r="O30" s="6">
        <v>1600</v>
      </c>
      <c r="P30" s="6">
        <v>-42.8</v>
      </c>
      <c r="Q30" s="9">
        <v>915.2</v>
      </c>
      <c r="R30" s="6">
        <v>283.71</v>
      </c>
      <c r="S30" s="1" t="s">
        <v>58</v>
      </c>
      <c r="T30" s="1" t="s">
        <v>55</v>
      </c>
      <c r="U30" s="1" t="s">
        <v>56</v>
      </c>
      <c r="V30" s="1" t="s">
        <v>57</v>
      </c>
      <c r="W30" s="1" t="s">
        <v>58</v>
      </c>
      <c r="X30" s="1" t="s">
        <v>73</v>
      </c>
      <c r="Y30" s="1" t="s">
        <v>80</v>
      </c>
      <c r="Z30" s="1" t="s">
        <v>74</v>
      </c>
      <c r="AA30" s="1" t="s">
        <v>61</v>
      </c>
      <c r="AB30" s="1" t="s">
        <v>93</v>
      </c>
      <c r="AC30" s="1" t="s">
        <v>88</v>
      </c>
      <c r="AD30" s="1" t="s">
        <v>82</v>
      </c>
      <c r="AE30" s="1" t="s">
        <v>114</v>
      </c>
      <c r="AF30" s="1">
        <v>1.01</v>
      </c>
      <c r="AG30" s="1">
        <v>4.39</v>
      </c>
      <c r="AH30" s="1">
        <v>4.36</v>
      </c>
      <c r="AI30" s="1">
        <v>2.72</v>
      </c>
      <c r="AJ30" s="1">
        <v>3.5</v>
      </c>
      <c r="AK30" s="1">
        <v>56</v>
      </c>
      <c r="AL30" s="1">
        <v>62.1</v>
      </c>
      <c r="AM30" s="1">
        <v>33</v>
      </c>
      <c r="AN30" s="1">
        <v>14.5</v>
      </c>
      <c r="AO30" s="1">
        <v>41.4</v>
      </c>
      <c r="AP30" s="1">
        <v>44</v>
      </c>
      <c r="AQ30" s="1" t="s">
        <v>66</v>
      </c>
      <c r="AR30" s="1" t="s">
        <v>67</v>
      </c>
      <c r="AS30" s="1" t="s">
        <v>57</v>
      </c>
      <c r="AT30" s="1" t="s">
        <v>68</v>
      </c>
      <c r="AU30" s="1" t="s">
        <v>110</v>
      </c>
    </row>
    <row r="31" spans="1:47">
      <c r="A31" s="1">
        <v>28</v>
      </c>
      <c r="B31" s="1" t="s">
        <v>111</v>
      </c>
      <c r="C31" s="1" t="s">
        <v>139</v>
      </c>
      <c r="D31" s="6">
        <v>0.31</v>
      </c>
      <c r="E31" s="1" t="s">
        <v>49</v>
      </c>
      <c r="F31" s="1" t="s">
        <v>71</v>
      </c>
      <c r="G31" s="1" t="s">
        <v>86</v>
      </c>
      <c r="H31" s="1" t="s">
        <v>52</v>
      </c>
      <c r="I31" s="1" t="s">
        <v>52</v>
      </c>
      <c r="J31" s="1" t="s">
        <v>52</v>
      </c>
      <c r="K31" s="1" t="s">
        <v>53</v>
      </c>
      <c r="L31" s="8" t="str">
        <f>HYPERLINK("https://www.sheetal.co/Details/StoneDetails/?stoneno=FMAM356150","YES")</f>
        <v>YES</v>
      </c>
      <c r="M31" s="8" t="str">
        <f>HYPERLINK("https://www.sheetal.co/Details/StoneDetails/?stoneno=FMAM356150","YES")</f>
        <v>YES</v>
      </c>
      <c r="N31" s="8" t="str">
        <f>HYPERLINK("https://www.sheetal.co/certificate/2504115383.pdf","2504115383")</f>
        <v>2504115383</v>
      </c>
      <c r="O31" s="6">
        <v>1600</v>
      </c>
      <c r="P31" s="6">
        <v>-48.1</v>
      </c>
      <c r="Q31" s="9">
        <v>830.4</v>
      </c>
      <c r="R31" s="6">
        <v>257.42</v>
      </c>
      <c r="S31" s="1" t="s">
        <v>58</v>
      </c>
      <c r="T31" s="1" t="s">
        <v>55</v>
      </c>
      <c r="U31" s="1" t="s">
        <v>56</v>
      </c>
      <c r="V31" s="1" t="s">
        <v>57</v>
      </c>
      <c r="W31" s="1" t="s">
        <v>58</v>
      </c>
      <c r="X31" s="1" t="s">
        <v>57</v>
      </c>
      <c r="Y31" s="1" t="s">
        <v>80</v>
      </c>
      <c r="Z31" s="1" t="s">
        <v>74</v>
      </c>
      <c r="AA31" s="1" t="s">
        <v>61</v>
      </c>
      <c r="AB31" s="1" t="s">
        <v>93</v>
      </c>
      <c r="AC31" s="1" t="s">
        <v>88</v>
      </c>
      <c r="AD31" s="1" t="s">
        <v>82</v>
      </c>
      <c r="AE31" s="1" t="s">
        <v>118</v>
      </c>
      <c r="AF31" s="1">
        <v>1</v>
      </c>
      <c r="AG31" s="1">
        <v>4.35</v>
      </c>
      <c r="AH31" s="1">
        <v>4.33</v>
      </c>
      <c r="AI31" s="1">
        <v>2.68</v>
      </c>
      <c r="AJ31" s="1">
        <v>3.5</v>
      </c>
      <c r="AK31" s="1">
        <v>59</v>
      </c>
      <c r="AL31" s="1">
        <v>61.8</v>
      </c>
      <c r="AM31" s="1">
        <v>35</v>
      </c>
      <c r="AN31" s="1">
        <v>14.5</v>
      </c>
      <c r="AO31" s="1">
        <v>41.2</v>
      </c>
      <c r="AP31" s="1">
        <v>44</v>
      </c>
      <c r="AQ31" s="1" t="s">
        <v>66</v>
      </c>
      <c r="AR31" s="1" t="s">
        <v>67</v>
      </c>
      <c r="AS31" s="1" t="s">
        <v>57</v>
      </c>
      <c r="AT31" s="1" t="s">
        <v>68</v>
      </c>
      <c r="AU31" s="1" t="s">
        <v>57</v>
      </c>
    </row>
    <row r="32" spans="1:47">
      <c r="A32" s="1">
        <v>29</v>
      </c>
      <c r="B32" s="1" t="s">
        <v>111</v>
      </c>
      <c r="C32" s="1" t="s">
        <v>140</v>
      </c>
      <c r="D32" s="6">
        <v>0.31</v>
      </c>
      <c r="E32" s="1" t="s">
        <v>49</v>
      </c>
      <c r="F32" s="1" t="s">
        <v>113</v>
      </c>
      <c r="G32" s="1" t="s">
        <v>86</v>
      </c>
      <c r="H32" s="1" t="s">
        <v>52</v>
      </c>
      <c r="I32" s="1" t="s">
        <v>79</v>
      </c>
      <c r="J32" s="1" t="s">
        <v>52</v>
      </c>
      <c r="K32" s="1" t="s">
        <v>53</v>
      </c>
      <c r="L32" s="8" t="str">
        <f>HYPERLINK("https://www.sheetal.co/Details/StoneDetails/?stoneno=R243008","YES")</f>
        <v>YES</v>
      </c>
      <c r="M32" s="8" t="str">
        <f>HYPERLINK("https://www.sheetal.co/Details/StoneDetails/?stoneno=R243008","YES")</f>
        <v>YES</v>
      </c>
      <c r="N32" s="8" t="str">
        <f>HYPERLINK("https://www.sheetal.co/certificate/6492714446.pdf","6492714446")</f>
        <v>6492714446</v>
      </c>
      <c r="O32" s="6">
        <v>1500</v>
      </c>
      <c r="P32" s="6">
        <v>-50.73</v>
      </c>
      <c r="Q32" s="9">
        <v>739.05</v>
      </c>
      <c r="R32" s="6">
        <v>229.1</v>
      </c>
      <c r="S32" s="1" t="s">
        <v>58</v>
      </c>
      <c r="T32" s="1" t="s">
        <v>55</v>
      </c>
      <c r="U32" s="1" t="s">
        <v>56</v>
      </c>
      <c r="V32" s="1" t="s">
        <v>57</v>
      </c>
      <c r="W32" s="1" t="s">
        <v>58</v>
      </c>
      <c r="X32" s="1" t="s">
        <v>57</v>
      </c>
      <c r="Y32" s="1" t="s">
        <v>80</v>
      </c>
      <c r="Z32" s="1" t="s">
        <v>74</v>
      </c>
      <c r="AA32" s="1" t="s">
        <v>87</v>
      </c>
      <c r="AB32" s="1" t="s">
        <v>93</v>
      </c>
      <c r="AC32" s="1" t="s">
        <v>63</v>
      </c>
      <c r="AD32" s="1" t="s">
        <v>82</v>
      </c>
      <c r="AE32" s="1" t="s">
        <v>114</v>
      </c>
      <c r="AF32" s="1">
        <v>1</v>
      </c>
      <c r="AG32" s="1">
        <v>4.32</v>
      </c>
      <c r="AH32" s="1">
        <v>4.3</v>
      </c>
      <c r="AI32" s="1">
        <v>2.69</v>
      </c>
      <c r="AJ32" s="1">
        <v>4</v>
      </c>
      <c r="AK32" s="1">
        <v>58</v>
      </c>
      <c r="AL32" s="1">
        <v>62.5</v>
      </c>
      <c r="AM32" s="1">
        <v>35</v>
      </c>
      <c r="AN32" s="1">
        <v>14.5</v>
      </c>
      <c r="AO32" s="1">
        <v>41.2</v>
      </c>
      <c r="AP32" s="1">
        <v>43.5</v>
      </c>
      <c r="AQ32" s="1" t="s">
        <v>66</v>
      </c>
      <c r="AR32" s="1" t="s">
        <v>67</v>
      </c>
      <c r="AS32" s="1" t="s">
        <v>57</v>
      </c>
      <c r="AT32" s="1" t="s">
        <v>68</v>
      </c>
      <c r="AU32" s="1" t="s">
        <v>57</v>
      </c>
    </row>
    <row r="33" spans="1:47">
      <c r="A33" s="1">
        <v>30</v>
      </c>
      <c r="B33" s="1" t="s">
        <v>111</v>
      </c>
      <c r="C33" s="1" t="s">
        <v>141</v>
      </c>
      <c r="D33" s="6">
        <v>0.31</v>
      </c>
      <c r="E33" s="1" t="s">
        <v>49</v>
      </c>
      <c r="F33" s="1" t="s">
        <v>113</v>
      </c>
      <c r="G33" s="1" t="s">
        <v>86</v>
      </c>
      <c r="H33" s="1" t="s">
        <v>52</v>
      </c>
      <c r="I33" s="1" t="s">
        <v>52</v>
      </c>
      <c r="J33" s="1" t="s">
        <v>52</v>
      </c>
      <c r="K33" s="1" t="s">
        <v>53</v>
      </c>
      <c r="L33" s="8" t="str">
        <f>HYPERLINK("https://www.sheetal.co/Details/StoneDetails/?stoneno=AM30263","YES")</f>
        <v>YES</v>
      </c>
      <c r="M33" s="8" t="str">
        <f>HYPERLINK("https://www.sheetal.co/Details/StoneDetails/?stoneno=AM30263","YES")</f>
        <v>YES</v>
      </c>
      <c r="N33" s="8" t="str">
        <f>HYPERLINK("https://www.sheetal.co/certificate/6512336299.pdf","6512336299")</f>
        <v>6512336299</v>
      </c>
      <c r="O33" s="6">
        <v>1500</v>
      </c>
      <c r="P33" s="6">
        <v>-39.78</v>
      </c>
      <c r="Q33" s="9">
        <v>903.3</v>
      </c>
      <c r="R33" s="6">
        <v>280.02</v>
      </c>
      <c r="S33" s="1" t="s">
        <v>58</v>
      </c>
      <c r="T33" s="1" t="s">
        <v>55</v>
      </c>
      <c r="U33" s="1" t="s">
        <v>56</v>
      </c>
      <c r="V33" s="1" t="s">
        <v>57</v>
      </c>
      <c r="W33" s="1" t="s">
        <v>58</v>
      </c>
      <c r="X33" s="1" t="s">
        <v>73</v>
      </c>
      <c r="Y33" s="1" t="s">
        <v>80</v>
      </c>
      <c r="Z33" s="1" t="s">
        <v>74</v>
      </c>
      <c r="AA33" s="1" t="s">
        <v>87</v>
      </c>
      <c r="AB33" s="1" t="s">
        <v>62</v>
      </c>
      <c r="AC33" s="1" t="s">
        <v>63</v>
      </c>
      <c r="AD33" s="1" t="s">
        <v>64</v>
      </c>
      <c r="AE33" s="1" t="s">
        <v>142</v>
      </c>
      <c r="AF33" s="1">
        <v>1.01</v>
      </c>
      <c r="AG33" s="1">
        <v>4.34</v>
      </c>
      <c r="AH33" s="1">
        <v>4.31</v>
      </c>
      <c r="AI33" s="1">
        <v>2.7</v>
      </c>
      <c r="AJ33" s="1">
        <v>4</v>
      </c>
      <c r="AK33" s="1">
        <v>57</v>
      </c>
      <c r="AL33" s="1">
        <v>62.4</v>
      </c>
      <c r="AM33" s="1">
        <v>35</v>
      </c>
      <c r="AN33" s="1">
        <v>15</v>
      </c>
      <c r="AO33" s="1">
        <v>41</v>
      </c>
      <c r="AP33" s="1">
        <v>43.5</v>
      </c>
      <c r="AQ33" s="1" t="s">
        <v>66</v>
      </c>
      <c r="AR33" s="1" t="s">
        <v>67</v>
      </c>
      <c r="AS33" s="1" t="s">
        <v>57</v>
      </c>
      <c r="AT33" s="1" t="s">
        <v>68</v>
      </c>
      <c r="AU33" s="1" t="s">
        <v>57</v>
      </c>
    </row>
    <row r="34" spans="1:47">
      <c r="A34" s="1">
        <v>31</v>
      </c>
      <c r="B34" s="1" t="s">
        <v>111</v>
      </c>
      <c r="C34" s="1" t="s">
        <v>143</v>
      </c>
      <c r="D34" s="6">
        <v>0.3</v>
      </c>
      <c r="E34" s="1" t="s">
        <v>49</v>
      </c>
      <c r="F34" s="1" t="s">
        <v>71</v>
      </c>
      <c r="G34" s="1" t="s">
        <v>86</v>
      </c>
      <c r="H34" s="1" t="s">
        <v>52</v>
      </c>
      <c r="I34" s="1" t="s">
        <v>52</v>
      </c>
      <c r="J34" s="1" t="s">
        <v>52</v>
      </c>
      <c r="K34" s="1" t="s">
        <v>53</v>
      </c>
      <c r="L34" s="8" t="str">
        <f>HYPERLINK("https://www.sheetal.co/Details/StoneDetails/?stoneno=AM29815","YES")</f>
        <v>YES</v>
      </c>
      <c r="M34" s="8" t="str">
        <f>HYPERLINK("https://www.sheetal.co/Details/StoneDetails/?stoneno=AM29815","YES")</f>
        <v>YES</v>
      </c>
      <c r="N34" s="8" t="str">
        <f>HYPERLINK("https://www.sheetal.co/certificate/3515332540.pdf","3515332540")</f>
        <v>3515332540</v>
      </c>
      <c r="O34" s="6">
        <v>1600</v>
      </c>
      <c r="P34" s="6">
        <v>-46.12</v>
      </c>
      <c r="Q34" s="9">
        <v>862.08</v>
      </c>
      <c r="R34" s="6">
        <v>258.62</v>
      </c>
      <c r="S34" s="1" t="s">
        <v>58</v>
      </c>
      <c r="T34" s="1" t="s">
        <v>55</v>
      </c>
      <c r="U34" s="1" t="s">
        <v>56</v>
      </c>
      <c r="V34" s="1" t="s">
        <v>57</v>
      </c>
      <c r="W34" s="1" t="s">
        <v>58</v>
      </c>
      <c r="X34" s="1" t="s">
        <v>73</v>
      </c>
      <c r="Y34" s="1" t="s">
        <v>59</v>
      </c>
      <c r="Z34" s="1" t="s">
        <v>60</v>
      </c>
      <c r="AA34" s="1" t="s">
        <v>87</v>
      </c>
      <c r="AB34" s="1" t="s">
        <v>93</v>
      </c>
      <c r="AC34" s="1" t="s">
        <v>63</v>
      </c>
      <c r="AD34" s="1" t="s">
        <v>64</v>
      </c>
      <c r="AE34" s="1" t="s">
        <v>83</v>
      </c>
      <c r="AF34" s="1">
        <v>1.01</v>
      </c>
      <c r="AG34" s="1">
        <v>4.31</v>
      </c>
      <c r="AH34" s="1">
        <v>4.28</v>
      </c>
      <c r="AI34" s="1">
        <v>2.69</v>
      </c>
      <c r="AJ34" s="1">
        <v>4</v>
      </c>
      <c r="AK34" s="1">
        <v>56</v>
      </c>
      <c r="AL34" s="1">
        <v>62.5</v>
      </c>
      <c r="AM34" s="1">
        <v>35</v>
      </c>
      <c r="AN34" s="1">
        <v>15.5</v>
      </c>
      <c r="AO34" s="1">
        <v>41</v>
      </c>
      <c r="AP34" s="1">
        <v>43.5</v>
      </c>
      <c r="AQ34" s="1" t="s">
        <v>102</v>
      </c>
      <c r="AR34" s="1" t="s">
        <v>67</v>
      </c>
      <c r="AS34" s="1" t="s">
        <v>57</v>
      </c>
      <c r="AT34" s="1" t="s">
        <v>68</v>
      </c>
      <c r="AU34" s="1" t="s">
        <v>57</v>
      </c>
    </row>
    <row r="35" spans="1:47">
      <c r="A35" s="1">
        <v>32</v>
      </c>
      <c r="B35" s="1" t="s">
        <v>111</v>
      </c>
      <c r="C35" s="1" t="s">
        <v>144</v>
      </c>
      <c r="D35" s="6">
        <v>0.3</v>
      </c>
      <c r="E35" s="1" t="s">
        <v>49</v>
      </c>
      <c r="F35" s="1" t="s">
        <v>113</v>
      </c>
      <c r="G35" s="1" t="s">
        <v>86</v>
      </c>
      <c r="H35" s="1" t="s">
        <v>52</v>
      </c>
      <c r="I35" s="1" t="s">
        <v>52</v>
      </c>
      <c r="J35" s="1" t="s">
        <v>52</v>
      </c>
      <c r="K35" s="1" t="s">
        <v>53</v>
      </c>
      <c r="L35" s="8" t="str">
        <f>HYPERLINK("https://www.sheetal.co/Details/StoneDetails/?stoneno=AM23703","YES")</f>
        <v>YES</v>
      </c>
      <c r="M35" s="8" t="str">
        <f>HYPERLINK("https://www.sheetal.co/Details/StoneDetails/?stoneno=AM23703","YES")</f>
        <v>YES</v>
      </c>
      <c r="N35" s="8" t="str">
        <f>HYPERLINK("https://www.sheetal.co/certificate/1508767516.pdf","1508767516")</f>
        <v>1508767516</v>
      </c>
      <c r="O35" s="6">
        <v>1500</v>
      </c>
      <c r="P35" s="6">
        <v>-48.46</v>
      </c>
      <c r="Q35" s="9">
        <v>773.1</v>
      </c>
      <c r="R35" s="6">
        <v>231.93</v>
      </c>
      <c r="S35" s="1" t="s">
        <v>58</v>
      </c>
      <c r="T35" s="1" t="s">
        <v>55</v>
      </c>
      <c r="U35" s="1" t="s">
        <v>56</v>
      </c>
      <c r="V35" s="1" t="s">
        <v>57</v>
      </c>
      <c r="W35" s="1" t="s">
        <v>54</v>
      </c>
      <c r="X35" s="1" t="s">
        <v>73</v>
      </c>
      <c r="Y35" s="1" t="s">
        <v>80</v>
      </c>
      <c r="Z35" s="1" t="s">
        <v>74</v>
      </c>
      <c r="AA35" s="1" t="s">
        <v>61</v>
      </c>
      <c r="AB35" s="1" t="s">
        <v>93</v>
      </c>
      <c r="AC35" s="1" t="s">
        <v>88</v>
      </c>
      <c r="AD35" s="1" t="s">
        <v>82</v>
      </c>
      <c r="AE35" s="1" t="s">
        <v>94</v>
      </c>
      <c r="AF35" s="1">
        <v>1</v>
      </c>
      <c r="AG35" s="1">
        <v>4.27</v>
      </c>
      <c r="AH35" s="1">
        <v>4.25</v>
      </c>
      <c r="AI35" s="1">
        <v>2.66</v>
      </c>
      <c r="AJ35" s="1">
        <v>4</v>
      </c>
      <c r="AK35" s="1">
        <v>56</v>
      </c>
      <c r="AL35" s="1">
        <v>62.4</v>
      </c>
      <c r="AM35" s="1">
        <v>35.5</v>
      </c>
      <c r="AN35" s="1">
        <v>15.5</v>
      </c>
      <c r="AO35" s="1">
        <v>40.6</v>
      </c>
      <c r="AP35" s="1">
        <v>42.5</v>
      </c>
      <c r="AQ35" s="1" t="s">
        <v>66</v>
      </c>
      <c r="AR35" s="1" t="s">
        <v>67</v>
      </c>
      <c r="AS35" s="1" t="s">
        <v>57</v>
      </c>
      <c r="AT35" s="1" t="s">
        <v>68</v>
      </c>
      <c r="AU35" s="1" t="s">
        <v>57</v>
      </c>
    </row>
    <row r="36" spans="1:47">
      <c r="A36" s="1">
        <v>33</v>
      </c>
      <c r="B36" s="1" t="s">
        <v>111</v>
      </c>
      <c r="C36" s="1" t="s">
        <v>145</v>
      </c>
      <c r="D36" s="6">
        <v>0.3</v>
      </c>
      <c r="E36" s="1" t="s">
        <v>49</v>
      </c>
      <c r="F36" s="1" t="s">
        <v>92</v>
      </c>
      <c r="G36" s="1" t="s">
        <v>86</v>
      </c>
      <c r="H36" s="1" t="s">
        <v>52</v>
      </c>
      <c r="I36" s="1" t="s">
        <v>52</v>
      </c>
      <c r="J36" s="1" t="s">
        <v>52</v>
      </c>
      <c r="K36" s="1" t="s">
        <v>53</v>
      </c>
      <c r="L36" s="8" t="str">
        <f>HYPERLINK("https://www.sheetal.co/Details/StoneDetails/?stoneno=AM27617","YES")</f>
        <v>YES</v>
      </c>
      <c r="M36" s="8" t="str">
        <f>HYPERLINK("https://www.sheetal.co/Details/StoneDetails/?stoneno=AM27617","YES")</f>
        <v>YES</v>
      </c>
      <c r="N36" s="8" t="str">
        <f>HYPERLINK("https://www.sheetal.co/certificate/1503854993.pdf","1503854993")</f>
        <v>1503854993</v>
      </c>
      <c r="O36" s="6">
        <v>1400</v>
      </c>
      <c r="P36" s="6">
        <v>-46.42</v>
      </c>
      <c r="Q36" s="9">
        <v>750.12</v>
      </c>
      <c r="R36" s="6">
        <v>225.04</v>
      </c>
      <c r="S36" s="1" t="s">
        <v>54</v>
      </c>
      <c r="T36" s="1" t="s">
        <v>55</v>
      </c>
      <c r="U36" s="1" t="s">
        <v>56</v>
      </c>
      <c r="V36" s="1" t="s">
        <v>57</v>
      </c>
      <c r="W36" s="1" t="s">
        <v>58</v>
      </c>
      <c r="X36" s="1" t="s">
        <v>73</v>
      </c>
      <c r="Y36" s="1" t="s">
        <v>80</v>
      </c>
      <c r="Z36" s="1" t="s">
        <v>74</v>
      </c>
      <c r="AA36" s="1" t="s">
        <v>81</v>
      </c>
      <c r="AB36" s="1" t="s">
        <v>93</v>
      </c>
      <c r="AC36" s="1" t="s">
        <v>63</v>
      </c>
      <c r="AD36" s="1" t="s">
        <v>82</v>
      </c>
      <c r="AE36" s="1" t="s">
        <v>118</v>
      </c>
      <c r="AF36" s="1">
        <v>1.01</v>
      </c>
      <c r="AG36" s="1">
        <v>4.36</v>
      </c>
      <c r="AH36" s="1">
        <v>4.33</v>
      </c>
      <c r="AI36" s="1">
        <v>2.64</v>
      </c>
      <c r="AJ36" s="1">
        <v>3.5</v>
      </c>
      <c r="AK36" s="1">
        <v>59</v>
      </c>
      <c r="AL36" s="1">
        <v>60.7</v>
      </c>
      <c r="AM36" s="1">
        <v>33.5</v>
      </c>
      <c r="AN36" s="1">
        <v>13.5</v>
      </c>
      <c r="AO36" s="1">
        <v>41.2</v>
      </c>
      <c r="AP36" s="1">
        <v>43.5</v>
      </c>
      <c r="AQ36" s="1" t="s">
        <v>66</v>
      </c>
      <c r="AR36" s="1" t="s">
        <v>67</v>
      </c>
      <c r="AS36" s="1" t="s">
        <v>57</v>
      </c>
      <c r="AT36" s="1" t="s">
        <v>68</v>
      </c>
      <c r="AU36" s="1" t="s">
        <v>57</v>
      </c>
    </row>
    <row r="37" spans="1:47">
      <c r="A37" s="1">
        <v>34</v>
      </c>
      <c r="B37" s="1" t="s">
        <v>111</v>
      </c>
      <c r="C37" s="1" t="s">
        <v>146</v>
      </c>
      <c r="D37" s="6">
        <v>0.3</v>
      </c>
      <c r="E37" s="1" t="s">
        <v>49</v>
      </c>
      <c r="F37" s="1" t="s">
        <v>108</v>
      </c>
      <c r="G37" s="1" t="s">
        <v>51</v>
      </c>
      <c r="H37" s="1" t="s">
        <v>52</v>
      </c>
      <c r="I37" s="1" t="s">
        <v>52</v>
      </c>
      <c r="J37" s="1" t="s">
        <v>79</v>
      </c>
      <c r="K37" s="1" t="s">
        <v>53</v>
      </c>
      <c r="L37" s="8" t="str">
        <f>HYPERLINK("https://www.sheetal.co/Details/StoneDetails/?stoneno=FM771504","YES")</f>
        <v>YES</v>
      </c>
      <c r="M37" s="8" t="str">
        <f>HYPERLINK("https://www.sheetal.co/Details/StoneDetails/?stoneno=FM771504","YES")</f>
        <v>YES</v>
      </c>
      <c r="N37" s="8" t="str">
        <f>HYPERLINK("https://www.sheetal.co/certificate/6515003028.pdf","6515003028")</f>
        <v>6515003028</v>
      </c>
      <c r="O37" s="6">
        <v>1200</v>
      </c>
      <c r="P37" s="6">
        <v>-47.1</v>
      </c>
      <c r="Q37" s="9">
        <v>634.8</v>
      </c>
      <c r="R37" s="6">
        <v>190.44</v>
      </c>
      <c r="S37" s="1" t="s">
        <v>58</v>
      </c>
      <c r="T37" s="1" t="s">
        <v>55</v>
      </c>
      <c r="U37" s="1" t="s">
        <v>56</v>
      </c>
      <c r="V37" s="1" t="s">
        <v>57</v>
      </c>
      <c r="W37" s="1" t="s">
        <v>58</v>
      </c>
      <c r="X37" s="1" t="s">
        <v>73</v>
      </c>
      <c r="Y37" s="1" t="s">
        <v>80</v>
      </c>
      <c r="Z37" s="1" t="s">
        <v>74</v>
      </c>
      <c r="AA37" s="1" t="s">
        <v>81</v>
      </c>
      <c r="AB37" s="1" t="s">
        <v>62</v>
      </c>
      <c r="AC37" s="1" t="s">
        <v>63</v>
      </c>
      <c r="AD37" s="1" t="s">
        <v>82</v>
      </c>
      <c r="AE37" s="1" t="s">
        <v>147</v>
      </c>
      <c r="AF37" s="1">
        <v>1.01</v>
      </c>
      <c r="AG37" s="1">
        <v>4.28</v>
      </c>
      <c r="AH37" s="1">
        <v>4.24</v>
      </c>
      <c r="AI37" s="1">
        <v>2.63</v>
      </c>
      <c r="AJ37" s="1">
        <v>4</v>
      </c>
      <c r="AK37" s="1">
        <v>58</v>
      </c>
      <c r="AL37" s="1">
        <v>61.8</v>
      </c>
      <c r="AM37" s="1">
        <v>35</v>
      </c>
      <c r="AN37" s="1">
        <v>15</v>
      </c>
      <c r="AO37" s="1">
        <v>40.6</v>
      </c>
      <c r="AP37" s="1">
        <v>43</v>
      </c>
      <c r="AQ37" s="1" t="s">
        <v>66</v>
      </c>
      <c r="AR37" s="1" t="s">
        <v>67</v>
      </c>
      <c r="AS37" s="1" t="s">
        <v>57</v>
      </c>
      <c r="AT37" s="1" t="s">
        <v>68</v>
      </c>
      <c r="AU37" s="1" t="s">
        <v>57</v>
      </c>
    </row>
    <row r="38" spans="1:47">
      <c r="A38" s="1">
        <v>1</v>
      </c>
      <c r="B38" s="1" t="s">
        <v>103</v>
      </c>
      <c r="C38" s="1" t="s">
        <v>148</v>
      </c>
      <c r="D38" s="6">
        <v>0.4</v>
      </c>
      <c r="E38" s="1" t="s">
        <v>149</v>
      </c>
      <c r="F38" s="1" t="s">
        <v>71</v>
      </c>
      <c r="G38" s="1" t="s">
        <v>72</v>
      </c>
      <c r="H38" s="1" t="s">
        <v>68</v>
      </c>
      <c r="I38" s="1" t="s">
        <v>79</v>
      </c>
      <c r="J38" s="1" t="s">
        <v>79</v>
      </c>
      <c r="K38" s="1" t="s">
        <v>53</v>
      </c>
      <c r="L38" s="8" t="str">
        <f>HYPERLINK("https://www.sheetal.co/Details/StoneDetails/?stoneno=RFS02195","YES")</f>
        <v>YES</v>
      </c>
      <c r="M38" s="8" t="str">
        <f>HYPERLINK("https://www.sheetal.co/Details/StoneDetails/?stoneno=RFS02195","YES")</f>
        <v>YES</v>
      </c>
      <c r="N38" s="8" t="str">
        <f>HYPERLINK("https://www.sheetal.co/certificate/6505756096.pdf","6505756096")</f>
        <v>6505756096</v>
      </c>
      <c r="O38" s="6">
        <v>2000</v>
      </c>
      <c r="P38" s="6">
        <v>-39.34</v>
      </c>
      <c r="Q38" s="9">
        <v>1213.2</v>
      </c>
      <c r="R38" s="6">
        <v>485.28</v>
      </c>
      <c r="S38" s="1" t="s">
        <v>58</v>
      </c>
      <c r="T38" s="1" t="s">
        <v>55</v>
      </c>
      <c r="U38" s="1" t="s">
        <v>56</v>
      </c>
      <c r="V38" s="1" t="s">
        <v>57</v>
      </c>
      <c r="W38" s="1" t="s">
        <v>58</v>
      </c>
      <c r="X38" s="1" t="s">
        <v>73</v>
      </c>
      <c r="Y38" s="1" t="s">
        <v>80</v>
      </c>
      <c r="Z38" s="1" t="s">
        <v>74</v>
      </c>
      <c r="AA38" s="1" t="s">
        <v>61</v>
      </c>
      <c r="AB38" s="1" t="s">
        <v>61</v>
      </c>
      <c r="AC38" s="1" t="s">
        <v>63</v>
      </c>
      <c r="AD38" s="1" t="s">
        <v>61</v>
      </c>
      <c r="AE38" s="1" t="s">
        <v>126</v>
      </c>
      <c r="AF38" s="1">
        <v>1.4</v>
      </c>
      <c r="AG38" s="1">
        <v>5.8</v>
      </c>
      <c r="AH38" s="1">
        <v>4.14</v>
      </c>
      <c r="AI38" s="1">
        <v>2.62</v>
      </c>
      <c r="AJ38" s="1">
        <v>4</v>
      </c>
      <c r="AK38" s="1">
        <v>61</v>
      </c>
      <c r="AL38" s="1">
        <v>63.3</v>
      </c>
      <c r="AM38" s="1">
        <v>36.11</v>
      </c>
      <c r="AN38" s="1">
        <v>14.23</v>
      </c>
      <c r="AO38" s="1">
        <v>40.85</v>
      </c>
      <c r="AP38" s="1">
        <v>44.73</v>
      </c>
      <c r="AQ38" s="1" t="s">
        <v>110</v>
      </c>
      <c r="AR38" s="1" t="s">
        <v>67</v>
      </c>
      <c r="AS38" s="1" t="s">
        <v>57</v>
      </c>
      <c r="AT38" s="1" t="s">
        <v>68</v>
      </c>
      <c r="AU38" s="1" t="s">
        <v>57</v>
      </c>
    </row>
    <row r="39" spans="1:47">
      <c r="A39" s="1">
        <v>2</v>
      </c>
      <c r="B39" s="1" t="s">
        <v>90</v>
      </c>
      <c r="C39" s="1" t="s">
        <v>150</v>
      </c>
      <c r="D39" s="6">
        <v>0.5</v>
      </c>
      <c r="E39" s="1" t="s">
        <v>151</v>
      </c>
      <c r="F39" s="1" t="s">
        <v>92</v>
      </c>
      <c r="G39" s="1" t="s">
        <v>51</v>
      </c>
      <c r="H39" s="1" t="s">
        <v>68</v>
      </c>
      <c r="I39" s="1" t="s">
        <v>79</v>
      </c>
      <c r="J39" s="1" t="s">
        <v>52</v>
      </c>
      <c r="K39" s="1" t="s">
        <v>53</v>
      </c>
      <c r="L39" s="8" t="str">
        <f>HYPERLINK("https://www.sheetal.co/Details/StoneDetails/?stoneno=RFS06532","YES")</f>
        <v>YES</v>
      </c>
      <c r="M39" s="8" t="str">
        <f>HYPERLINK("https://www.sheetal.co/Details/StoneDetails/?stoneno=RFS06532","YES")</f>
        <v>YES</v>
      </c>
      <c r="N39" s="8" t="str">
        <f>HYPERLINK("https://www.sheetal.co/certificate/2516337566.pdf","2516337566")</f>
        <v>2516337566</v>
      </c>
      <c r="O39" s="6">
        <v>2000</v>
      </c>
      <c r="P39" s="6">
        <v>-43.63</v>
      </c>
      <c r="Q39" s="9">
        <v>1127.4</v>
      </c>
      <c r="R39" s="6">
        <v>563.7</v>
      </c>
      <c r="S39" s="1" t="s">
        <v>58</v>
      </c>
      <c r="T39" s="1" t="s">
        <v>55</v>
      </c>
      <c r="U39" s="1" t="s">
        <v>56</v>
      </c>
      <c r="V39" s="1" t="s">
        <v>57</v>
      </c>
      <c r="W39" s="1" t="s">
        <v>58</v>
      </c>
      <c r="X39" s="1" t="s">
        <v>73</v>
      </c>
      <c r="Y39" s="1" t="s">
        <v>80</v>
      </c>
      <c r="Z39" s="1" t="s">
        <v>74</v>
      </c>
      <c r="AA39" s="1" t="s">
        <v>87</v>
      </c>
      <c r="AB39" s="1" t="s">
        <v>62</v>
      </c>
      <c r="AC39" s="1" t="s">
        <v>63</v>
      </c>
      <c r="AD39" s="1" t="s">
        <v>82</v>
      </c>
      <c r="AE39" s="1" t="s">
        <v>114</v>
      </c>
      <c r="AF39" s="1">
        <v>1.6</v>
      </c>
      <c r="AG39" s="1">
        <v>6.94</v>
      </c>
      <c r="AH39" s="1">
        <v>4.35</v>
      </c>
      <c r="AI39" s="1">
        <v>2.74</v>
      </c>
      <c r="AJ39" s="1">
        <v>5</v>
      </c>
      <c r="AK39" s="1">
        <v>60</v>
      </c>
      <c r="AL39" s="1">
        <v>63.1</v>
      </c>
      <c r="AM39" s="1">
        <v>36.84</v>
      </c>
      <c r="AN39" s="1">
        <v>14.67</v>
      </c>
      <c r="AO39" s="1">
        <v>39.97</v>
      </c>
      <c r="AP39" s="1">
        <v>43.3</v>
      </c>
      <c r="AQ39" s="1" t="s">
        <v>110</v>
      </c>
      <c r="AR39" s="1" t="s">
        <v>67</v>
      </c>
      <c r="AS39" s="1" t="s">
        <v>57</v>
      </c>
      <c r="AT39" s="1" t="s">
        <v>68</v>
      </c>
      <c r="AU39" s="1" t="s">
        <v>57</v>
      </c>
    </row>
    <row r="40" spans="1:47">
      <c r="A40" s="1">
        <v>3</v>
      </c>
      <c r="B40" s="1" t="s">
        <v>152</v>
      </c>
      <c r="C40" s="1" t="s">
        <v>153</v>
      </c>
      <c r="D40" s="6">
        <v>1</v>
      </c>
      <c r="E40" s="1" t="s">
        <v>154</v>
      </c>
      <c r="F40" s="1" t="s">
        <v>155</v>
      </c>
      <c r="G40" s="1" t="s">
        <v>86</v>
      </c>
      <c r="H40" s="1" t="s">
        <v>68</v>
      </c>
      <c r="I40" s="1" t="s">
        <v>79</v>
      </c>
      <c r="J40" s="1" t="s">
        <v>52</v>
      </c>
      <c r="K40" s="1" t="s">
        <v>53</v>
      </c>
      <c r="L40" s="8" t="str">
        <f>HYPERLINK("https://www.sheetal.co/Details/StoneDetails/?stoneno=RFS01147","YES")</f>
        <v>YES</v>
      </c>
      <c r="M40" s="8" t="str">
        <f>HYPERLINK("https://www.sheetal.co/Details/StoneDetails/?stoneno=RFS01147","YES")</f>
        <v>YES</v>
      </c>
      <c r="N40" s="8" t="str">
        <f>HYPERLINK("https://www.sheetal.co/certificate/1505480988.pdf","1505480988")</f>
        <v>1505480988</v>
      </c>
      <c r="O40" s="6">
        <v>3100</v>
      </c>
      <c r="P40" s="6">
        <v>-62.03</v>
      </c>
      <c r="Q40" s="9">
        <v>1177.07</v>
      </c>
      <c r="R40" s="6">
        <v>1177.07</v>
      </c>
      <c r="S40" s="1" t="s">
        <v>54</v>
      </c>
      <c r="T40" s="1" t="s">
        <v>55</v>
      </c>
      <c r="U40" s="1" t="s">
        <v>56</v>
      </c>
      <c r="V40" s="1" t="s">
        <v>57</v>
      </c>
      <c r="W40" s="1" t="s">
        <v>58</v>
      </c>
      <c r="X40" s="1" t="s">
        <v>73</v>
      </c>
      <c r="Y40" s="1" t="s">
        <v>80</v>
      </c>
      <c r="Z40" s="1" t="s">
        <v>60</v>
      </c>
      <c r="AA40" s="1" t="s">
        <v>87</v>
      </c>
      <c r="AB40" s="1" t="s">
        <v>93</v>
      </c>
      <c r="AC40" s="1" t="s">
        <v>63</v>
      </c>
      <c r="AD40" s="1" t="s">
        <v>82</v>
      </c>
      <c r="AE40" s="1" t="s">
        <v>156</v>
      </c>
      <c r="AF40" s="1">
        <v>0.84</v>
      </c>
      <c r="AG40" s="1">
        <v>6.94</v>
      </c>
      <c r="AH40" s="1">
        <v>5.83</v>
      </c>
      <c r="AI40" s="1">
        <v>4.14</v>
      </c>
      <c r="AJ40" s="1">
        <v>0</v>
      </c>
      <c r="AK40" s="1">
        <v>65</v>
      </c>
      <c r="AL40" s="1">
        <v>59.7</v>
      </c>
      <c r="AM40" s="1">
        <v>47.01</v>
      </c>
      <c r="AN40" s="1">
        <v>14.52</v>
      </c>
      <c r="AO40" s="1">
        <v>43.26</v>
      </c>
      <c r="AP40" s="1">
        <v>40.99</v>
      </c>
      <c r="AQ40" s="1" t="s">
        <v>110</v>
      </c>
      <c r="AR40" s="1" t="s">
        <v>67</v>
      </c>
      <c r="AS40" s="1" t="s">
        <v>57</v>
      </c>
      <c r="AT40" s="1" t="s">
        <v>68</v>
      </c>
      <c r="AU40" s="1" t="s">
        <v>57</v>
      </c>
    </row>
    <row r="41" spans="1:47">
      <c r="A41" s="1">
        <v>4</v>
      </c>
      <c r="B41" s="1" t="s">
        <v>76</v>
      </c>
      <c r="C41" s="1" t="s">
        <v>157</v>
      </c>
      <c r="D41" s="6">
        <v>0.71</v>
      </c>
      <c r="E41" s="1" t="s">
        <v>154</v>
      </c>
      <c r="F41" s="1" t="s">
        <v>92</v>
      </c>
      <c r="G41" s="1" t="s">
        <v>72</v>
      </c>
      <c r="H41" s="1" t="s">
        <v>68</v>
      </c>
      <c r="I41" s="1" t="s">
        <v>52</v>
      </c>
      <c r="J41" s="1" t="s">
        <v>79</v>
      </c>
      <c r="K41" s="1" t="s">
        <v>53</v>
      </c>
      <c r="L41" s="8" t="str">
        <f>HYPERLINK("https://www.sheetal.co/Details/StoneDetails/?stoneno=FMFS03707","YES")</f>
        <v>YES</v>
      </c>
      <c r="M41" s="8" t="str">
        <f>HYPERLINK("https://www.sheetal.co/Details/StoneDetails/?stoneno=FMFS03707","YES")</f>
        <v>YES</v>
      </c>
      <c r="N41" s="8" t="str">
        <f>HYPERLINK("https://www.sheetal.co/certificate/7516331651.pdf","7516331651")</f>
        <v>7516331651</v>
      </c>
      <c r="O41" s="6">
        <v>3000</v>
      </c>
      <c r="P41" s="6">
        <v>-45.1</v>
      </c>
      <c r="Q41" s="9">
        <v>1647</v>
      </c>
      <c r="R41" s="6">
        <v>1169.37</v>
      </c>
      <c r="S41" s="1" t="s">
        <v>54</v>
      </c>
      <c r="T41" s="1" t="s">
        <v>55</v>
      </c>
      <c r="U41" s="1" t="s">
        <v>56</v>
      </c>
      <c r="V41" s="1" t="s">
        <v>57</v>
      </c>
      <c r="W41" s="1" t="s">
        <v>58</v>
      </c>
      <c r="X41" s="1" t="s">
        <v>73</v>
      </c>
      <c r="Y41" s="1" t="s">
        <v>80</v>
      </c>
      <c r="Z41" s="1" t="s">
        <v>74</v>
      </c>
      <c r="AA41" s="1" t="s">
        <v>87</v>
      </c>
      <c r="AB41" s="1" t="s">
        <v>61</v>
      </c>
      <c r="AC41" s="1" t="s">
        <v>61</v>
      </c>
      <c r="AD41" s="1" t="s">
        <v>82</v>
      </c>
      <c r="AE41" s="1" t="s">
        <v>158</v>
      </c>
      <c r="AF41" s="1">
        <v>0.87</v>
      </c>
      <c r="AG41" s="1">
        <v>6.39</v>
      </c>
      <c r="AH41" s="1">
        <v>5.53</v>
      </c>
      <c r="AI41" s="1">
        <v>3.52</v>
      </c>
      <c r="AJ41" s="1">
        <v>3</v>
      </c>
      <c r="AK41" s="1">
        <v>67</v>
      </c>
      <c r="AL41" s="1">
        <v>55.1</v>
      </c>
      <c r="AM41" s="1">
        <v>44.07</v>
      </c>
      <c r="AN41" s="1">
        <v>12.16</v>
      </c>
      <c r="AO41" s="1">
        <v>42.97</v>
      </c>
      <c r="AP41" s="1">
        <v>39.9</v>
      </c>
      <c r="AQ41" s="1" t="s">
        <v>110</v>
      </c>
      <c r="AR41" s="1" t="s">
        <v>67</v>
      </c>
      <c r="AS41" s="1" t="s">
        <v>57</v>
      </c>
      <c r="AT41" s="1" t="s">
        <v>68</v>
      </c>
      <c r="AU41" s="1" t="s">
        <v>57</v>
      </c>
    </row>
  </sheetData>
  <autoFilter xmlns:etc="http://www.wps.cn/officeDocument/2017/etCustomData" ref="A1:AU41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44"/>
  <sheetViews>
    <sheetView topLeftCell="V1" workbookViewId="0">
      <pane ySplit="9" topLeftCell="A10" activePane="bottomLeft" state="frozen"/>
      <selection/>
      <selection pane="bottomLeft" activeCell="A10" sqref="A10:AU43"/>
    </sheetView>
  </sheetViews>
  <sheetFormatPr defaultColWidth="9.11111111111111" defaultRowHeight="13.8"/>
  <cols>
    <col min="1" max="1" width="9.11111111111111" style="1" customWidth="1"/>
    <col min="2" max="2" width="14.6666666666667" style="1" customWidth="1"/>
    <col min="3" max="3" width="12.6666666666667" style="1" customWidth="1"/>
    <col min="4" max="9" width="9.11111111111111" style="1" customWidth="1"/>
    <col min="10" max="10" width="11.8888888888889" style="1" customWidth="1"/>
    <col min="11" max="13" width="9.11111111111111" style="1" customWidth="1"/>
    <col min="14" max="14" width="12" style="1" customWidth="1"/>
    <col min="15" max="16" width="9.11111111111111" style="1" customWidth="1"/>
    <col min="17" max="17" width="11.5555555555556" style="1" customWidth="1"/>
    <col min="18" max="18" width="12" style="1" customWidth="1"/>
    <col min="19" max="19" width="14.2222222222222" style="1" customWidth="1"/>
    <col min="20" max="20" width="10.5555555555556" style="1" customWidth="1"/>
    <col min="21" max="23" width="9.11111111111111" style="1" customWidth="1"/>
    <col min="24" max="24" width="11" style="1" customWidth="1"/>
    <col min="25" max="30" width="9.11111111111111" style="1" customWidth="1"/>
    <col min="31" max="31" width="30.7777777777778" style="1" customWidth="1"/>
    <col min="32" max="35" width="9.11111111111111" style="1" customWidth="1"/>
    <col min="36" max="36" width="10" style="1" customWidth="1"/>
    <col min="37" max="37" width="9.44444444444444" style="1" customWidth="1"/>
    <col min="38" max="38" width="10" style="1" customWidth="1"/>
    <col min="39" max="39" width="9.55555555555556" style="1" customWidth="1"/>
    <col min="40" max="40" width="9.11111111111111" style="1" customWidth="1"/>
    <col min="41" max="41" width="9.66666666666667" style="1" customWidth="1"/>
    <col min="42" max="43" width="9.11111111111111" style="1" customWidth="1"/>
    <col min="44" max="44" width="11.6666666666667" style="1" customWidth="1"/>
    <col min="45" max="45" width="12.5555555555556" style="1" customWidth="1"/>
    <col min="46" max="46" width="10" style="1" customWidth="1"/>
    <col min="47" max="47" width="12.6666666666667" style="1" customWidth="1"/>
    <col min="48" max="48" width="9.11111111111111" style="1" customWidth="1"/>
    <col min="49" max="16384" width="9.11111111111111" style="1"/>
  </cols>
  <sheetData>
    <row r="3" ht="23.4" spans="4:4">
      <c r="D3" s="2" t="s">
        <v>159</v>
      </c>
    </row>
    <row r="4" spans="4:4">
      <c r="D4" s="3" t="s">
        <v>160</v>
      </c>
    </row>
    <row r="5" spans="4:4">
      <c r="D5" s="3" t="s">
        <v>161</v>
      </c>
    </row>
    <row r="6" spans="4:4">
      <c r="D6" s="3" t="s">
        <v>162</v>
      </c>
    </row>
    <row r="8" ht="14.55" spans="1:47">
      <c r="A8" s="3">
        <f>SUBTOTAL(3,A10:A43)</f>
        <v>34</v>
      </c>
      <c r="B8" s="4"/>
      <c r="C8" s="4"/>
      <c r="D8" s="4">
        <f>SUBTOTAL(9,D10:D43)</f>
        <v>12.86</v>
      </c>
      <c r="E8" s="4"/>
      <c r="F8" s="4"/>
      <c r="G8" s="4"/>
      <c r="H8" s="4"/>
      <c r="I8" s="4"/>
      <c r="J8" s="4"/>
      <c r="K8" s="4"/>
      <c r="L8" s="4"/>
      <c r="M8" s="4"/>
      <c r="N8" s="4"/>
      <c r="O8" s="4">
        <f ca="1">ROUND(SUMPRODUCT(SUBTOTAL(9,OFFSET(O10:O43,ROW(O10:O43)-MIN(ROW(O10:O43)),,1,1)),D10:D43)/SUBTOTAL(9,D10:D43),2)</f>
        <v>1625.27</v>
      </c>
      <c r="P8" s="4">
        <f ca="1">ROUND(IF(O8&lt;&gt;0,ROUND((O8-Q8)/O8*-100,2),0),2)</f>
        <v>-45.48</v>
      </c>
      <c r="Q8" s="4">
        <f>ROUND(SUBTOTAL(9,R10:R43)/SUBTOTAL(9,D10:D43),2)</f>
        <v>886.02</v>
      </c>
      <c r="R8" s="4">
        <f>SUBTOTAL(9,R10:R43)</f>
        <v>11394.17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ht="14.55" spans="1:47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15</v>
      </c>
      <c r="Q9" s="5" t="s">
        <v>16</v>
      </c>
      <c r="R9" s="5" t="s">
        <v>17</v>
      </c>
      <c r="S9" s="5" t="s">
        <v>18</v>
      </c>
      <c r="T9" s="5" t="s">
        <v>19</v>
      </c>
      <c r="U9" s="5" t="s">
        <v>20</v>
      </c>
      <c r="V9" s="5" t="s">
        <v>21</v>
      </c>
      <c r="W9" s="5" t="s">
        <v>22</v>
      </c>
      <c r="X9" s="5" t="s">
        <v>23</v>
      </c>
      <c r="Y9" s="5" t="s">
        <v>24</v>
      </c>
      <c r="Z9" s="5" t="s">
        <v>25</v>
      </c>
      <c r="AA9" s="5" t="s">
        <v>26</v>
      </c>
      <c r="AB9" s="5" t="s">
        <v>27</v>
      </c>
      <c r="AC9" s="5" t="s">
        <v>28</v>
      </c>
      <c r="AD9" s="5" t="s">
        <v>29</v>
      </c>
      <c r="AE9" s="5" t="s">
        <v>30</v>
      </c>
      <c r="AF9" s="5" t="s">
        <v>31</v>
      </c>
      <c r="AG9" s="5" t="s">
        <v>32</v>
      </c>
      <c r="AH9" s="5" t="s">
        <v>33</v>
      </c>
      <c r="AI9" s="5" t="s">
        <v>34</v>
      </c>
      <c r="AJ9" s="5" t="s">
        <v>35</v>
      </c>
      <c r="AK9" s="5" t="s">
        <v>36</v>
      </c>
      <c r="AL9" s="5" t="s">
        <v>37</v>
      </c>
      <c r="AM9" s="5" t="s">
        <v>38</v>
      </c>
      <c r="AN9" s="5" t="s">
        <v>39</v>
      </c>
      <c r="AO9" s="5" t="s">
        <v>40</v>
      </c>
      <c r="AP9" s="5" t="s">
        <v>41</v>
      </c>
      <c r="AQ9" s="5" t="s">
        <v>42</v>
      </c>
      <c r="AR9" s="5" t="s">
        <v>43</v>
      </c>
      <c r="AS9" s="5" t="s">
        <v>44</v>
      </c>
      <c r="AT9" s="5" t="s">
        <v>45</v>
      </c>
      <c r="AU9" s="5" t="s">
        <v>46</v>
      </c>
    </row>
    <row r="10" spans="1:47">
      <c r="A10" s="1">
        <v>1</v>
      </c>
      <c r="B10" s="1" t="s">
        <v>76</v>
      </c>
      <c r="C10" s="1" t="s">
        <v>77</v>
      </c>
      <c r="D10" s="6">
        <v>0.7</v>
      </c>
      <c r="E10" s="1" t="s">
        <v>49</v>
      </c>
      <c r="F10" s="1" t="s">
        <v>78</v>
      </c>
      <c r="G10" s="1" t="s">
        <v>51</v>
      </c>
      <c r="H10" s="1" t="s">
        <v>79</v>
      </c>
      <c r="I10" s="1" t="s">
        <v>52</v>
      </c>
      <c r="J10" s="1" t="s">
        <v>52</v>
      </c>
      <c r="K10" s="1" t="s">
        <v>53</v>
      </c>
      <c r="L10" s="8" t="str">
        <f>HYPERLINK("https://www.sheetal.co/Details/StoneDetails/?stoneno=RS14657","YES")</f>
        <v>YES</v>
      </c>
      <c r="M10" s="8" t="str">
        <f>HYPERLINK("https://www.sheetal.co/Details/StoneDetails/?stoneno=RS14657","YES")</f>
        <v>YES</v>
      </c>
      <c r="N10" s="8" t="str">
        <f>HYPERLINK("https://www.sheetal.co/certificate/7503795585.pdf","7503795585")</f>
        <v>7503795585</v>
      </c>
      <c r="O10" s="6">
        <v>2500</v>
      </c>
      <c r="P10" s="6">
        <v>-54.1</v>
      </c>
      <c r="Q10" s="9">
        <v>1147.5</v>
      </c>
      <c r="R10" s="6">
        <v>803.25</v>
      </c>
      <c r="S10" s="1" t="s">
        <v>54</v>
      </c>
      <c r="T10" s="1" t="s">
        <v>55</v>
      </c>
      <c r="U10" s="1" t="s">
        <v>56</v>
      </c>
      <c r="V10" s="1" t="s">
        <v>57</v>
      </c>
      <c r="W10" s="1" t="s">
        <v>58</v>
      </c>
      <c r="X10" s="1" t="s">
        <v>73</v>
      </c>
      <c r="Y10" s="1" t="s">
        <v>80</v>
      </c>
      <c r="Z10" s="1" t="s">
        <v>74</v>
      </c>
      <c r="AA10" s="1" t="s">
        <v>81</v>
      </c>
      <c r="AB10" s="1" t="s">
        <v>61</v>
      </c>
      <c r="AC10" s="1" t="s">
        <v>61</v>
      </c>
      <c r="AD10" s="1" t="s">
        <v>82</v>
      </c>
      <c r="AE10" s="1" t="s">
        <v>83</v>
      </c>
      <c r="AF10" s="1">
        <v>1.01</v>
      </c>
      <c r="AG10" s="1">
        <v>5.59</v>
      </c>
      <c r="AH10" s="1">
        <v>5.55</v>
      </c>
      <c r="AI10" s="1">
        <v>3.54</v>
      </c>
      <c r="AJ10" s="1">
        <v>5</v>
      </c>
      <c r="AK10" s="1">
        <v>58</v>
      </c>
      <c r="AL10" s="1">
        <v>63.6</v>
      </c>
      <c r="AM10" s="1">
        <v>36</v>
      </c>
      <c r="AN10" s="1">
        <v>15</v>
      </c>
      <c r="AO10" s="1">
        <v>41.2</v>
      </c>
      <c r="AP10" s="1">
        <v>43.5</v>
      </c>
      <c r="AQ10" s="1" t="s">
        <v>66</v>
      </c>
      <c r="AR10" s="1" t="s">
        <v>67</v>
      </c>
      <c r="AS10" s="1" t="s">
        <v>57</v>
      </c>
      <c r="AT10" s="1" t="s">
        <v>68</v>
      </c>
      <c r="AU10" s="1" t="s">
        <v>57</v>
      </c>
    </row>
    <row r="11" spans="1:47">
      <c r="A11" s="1">
        <v>2</v>
      </c>
      <c r="B11" s="1" t="s">
        <v>84</v>
      </c>
      <c r="C11" s="1" t="s">
        <v>85</v>
      </c>
      <c r="D11" s="6">
        <v>0.6</v>
      </c>
      <c r="E11" s="1" t="s">
        <v>49</v>
      </c>
      <c r="F11" s="1" t="s">
        <v>50</v>
      </c>
      <c r="G11" s="1" t="s">
        <v>86</v>
      </c>
      <c r="H11" s="1" t="s">
        <v>52</v>
      </c>
      <c r="I11" s="1" t="s">
        <v>79</v>
      </c>
      <c r="J11" s="1" t="s">
        <v>52</v>
      </c>
      <c r="K11" s="1" t="s">
        <v>53</v>
      </c>
      <c r="L11" s="8" t="str">
        <f>HYPERLINK("https://www.sheetal.co/Details/StoneDetails/?stoneno=RS22386","YES")</f>
        <v>YES</v>
      </c>
      <c r="M11" s="8" t="str">
        <f>HYPERLINK("https://www.sheetal.co/Details/StoneDetails/?stoneno=RS22386","YES")</f>
        <v>YES</v>
      </c>
      <c r="N11" s="8" t="str">
        <f>HYPERLINK("https://www.sheetal.co/certificate/6512326055.pdf","6512326055")</f>
        <v>6512326055</v>
      </c>
      <c r="O11" s="6">
        <v>1300</v>
      </c>
      <c r="P11" s="6">
        <v>-41.2</v>
      </c>
      <c r="Q11" s="9">
        <v>764.4</v>
      </c>
      <c r="R11" s="6">
        <v>458.64</v>
      </c>
      <c r="S11" s="1" t="s">
        <v>58</v>
      </c>
      <c r="T11" s="1" t="s">
        <v>55</v>
      </c>
      <c r="U11" s="1" t="s">
        <v>56</v>
      </c>
      <c r="V11" s="1" t="s">
        <v>57</v>
      </c>
      <c r="W11" s="1" t="s">
        <v>58</v>
      </c>
      <c r="X11" s="1" t="s">
        <v>57</v>
      </c>
      <c r="Y11" s="1" t="s">
        <v>80</v>
      </c>
      <c r="Z11" s="1" t="s">
        <v>74</v>
      </c>
      <c r="AA11" s="1" t="s">
        <v>87</v>
      </c>
      <c r="AB11" s="1" t="s">
        <v>62</v>
      </c>
      <c r="AC11" s="1" t="s">
        <v>88</v>
      </c>
      <c r="AD11" s="1" t="s">
        <v>64</v>
      </c>
      <c r="AE11" s="1" t="s">
        <v>89</v>
      </c>
      <c r="AF11" s="1">
        <v>1.01</v>
      </c>
      <c r="AG11" s="1">
        <v>5.39</v>
      </c>
      <c r="AH11" s="1">
        <v>5.35</v>
      </c>
      <c r="AI11" s="1">
        <v>3.32</v>
      </c>
      <c r="AJ11" s="1">
        <v>4</v>
      </c>
      <c r="AK11" s="1">
        <v>58</v>
      </c>
      <c r="AL11" s="1">
        <v>61.9</v>
      </c>
      <c r="AM11" s="1">
        <v>35.5</v>
      </c>
      <c r="AN11" s="1">
        <v>15</v>
      </c>
      <c r="AO11" s="1">
        <v>40.6</v>
      </c>
      <c r="AP11" s="1">
        <v>43</v>
      </c>
      <c r="AQ11" s="1" t="s">
        <v>66</v>
      </c>
      <c r="AR11" s="1" t="s">
        <v>67</v>
      </c>
      <c r="AS11" s="1" t="s">
        <v>57</v>
      </c>
      <c r="AT11" s="1" t="s">
        <v>68</v>
      </c>
      <c r="AU11" s="1" t="s">
        <v>57</v>
      </c>
    </row>
    <row r="12" spans="1:47">
      <c r="A12" s="1">
        <v>3</v>
      </c>
      <c r="B12" s="1" t="s">
        <v>90</v>
      </c>
      <c r="C12" s="1" t="s">
        <v>91</v>
      </c>
      <c r="D12" s="6">
        <v>0.56</v>
      </c>
      <c r="E12" s="1" t="s">
        <v>49</v>
      </c>
      <c r="F12" s="1" t="s">
        <v>92</v>
      </c>
      <c r="G12" s="1" t="s">
        <v>51</v>
      </c>
      <c r="H12" s="1" t="s">
        <v>52</v>
      </c>
      <c r="I12" s="1" t="s">
        <v>52</v>
      </c>
      <c r="J12" s="1" t="s">
        <v>52</v>
      </c>
      <c r="K12" s="1" t="s">
        <v>53</v>
      </c>
      <c r="L12" s="8" t="str">
        <f>HYPERLINK("https://www.sheetal.co/Details/StoneDetails/?stoneno=AM28046","YES")</f>
        <v>YES</v>
      </c>
      <c r="M12" s="8" t="str">
        <f>HYPERLINK("https://www.sheetal.co/Details/StoneDetails/?stoneno=AM28046","YES")</f>
        <v>YES</v>
      </c>
      <c r="N12" s="8" t="str">
        <f>HYPERLINK("https://www.sheetal.co/certificate/6505862087.pdf","6505862087")</f>
        <v>6505862087</v>
      </c>
      <c r="O12" s="6">
        <v>2100</v>
      </c>
      <c r="P12" s="6">
        <v>-48.39</v>
      </c>
      <c r="Q12" s="9">
        <v>1083.81</v>
      </c>
      <c r="R12" s="6">
        <v>606.93</v>
      </c>
      <c r="S12" s="1" t="s">
        <v>58</v>
      </c>
      <c r="T12" s="1" t="s">
        <v>55</v>
      </c>
      <c r="U12" s="1" t="s">
        <v>56</v>
      </c>
      <c r="V12" s="1" t="s">
        <v>57</v>
      </c>
      <c r="W12" s="1" t="s">
        <v>58</v>
      </c>
      <c r="X12" s="1" t="s">
        <v>73</v>
      </c>
      <c r="Y12" s="1" t="s">
        <v>59</v>
      </c>
      <c r="Z12" s="1" t="s">
        <v>74</v>
      </c>
      <c r="AA12" s="1" t="s">
        <v>61</v>
      </c>
      <c r="AB12" s="1" t="s">
        <v>93</v>
      </c>
      <c r="AC12" s="1" t="s">
        <v>63</v>
      </c>
      <c r="AD12" s="1" t="s">
        <v>61</v>
      </c>
      <c r="AE12" s="1" t="s">
        <v>94</v>
      </c>
      <c r="AF12" s="1">
        <v>1.01</v>
      </c>
      <c r="AG12" s="1">
        <v>5.29</v>
      </c>
      <c r="AH12" s="1">
        <v>5.26</v>
      </c>
      <c r="AI12" s="1">
        <v>3.27</v>
      </c>
      <c r="AJ12" s="1">
        <v>4</v>
      </c>
      <c r="AK12" s="1">
        <v>58</v>
      </c>
      <c r="AL12" s="1">
        <v>62</v>
      </c>
      <c r="AM12" s="1">
        <v>35.5</v>
      </c>
      <c r="AN12" s="1">
        <v>15</v>
      </c>
      <c r="AO12" s="1">
        <v>40.8</v>
      </c>
      <c r="AP12" s="1">
        <v>43</v>
      </c>
      <c r="AQ12" s="1" t="s">
        <v>66</v>
      </c>
      <c r="AR12" s="1" t="s">
        <v>67</v>
      </c>
      <c r="AS12" s="1" t="s">
        <v>57</v>
      </c>
      <c r="AT12" s="1" t="s">
        <v>68</v>
      </c>
      <c r="AU12" s="1" t="s">
        <v>57</v>
      </c>
    </row>
    <row r="13" spans="1:47">
      <c r="A13" s="1">
        <v>4</v>
      </c>
      <c r="B13" s="1" t="s">
        <v>90</v>
      </c>
      <c r="C13" s="1" t="s">
        <v>95</v>
      </c>
      <c r="D13" s="6">
        <v>0.54</v>
      </c>
      <c r="E13" s="1" t="s">
        <v>49</v>
      </c>
      <c r="F13" s="1" t="s">
        <v>92</v>
      </c>
      <c r="G13" s="1" t="s">
        <v>86</v>
      </c>
      <c r="H13" s="1" t="s">
        <v>52</v>
      </c>
      <c r="I13" s="1" t="s">
        <v>52</v>
      </c>
      <c r="J13" s="1" t="s">
        <v>52</v>
      </c>
      <c r="K13" s="1" t="s">
        <v>53</v>
      </c>
      <c r="L13" s="8" t="str">
        <f>HYPERLINK("https://www.sheetal.co/Details/StoneDetails/?stoneno=AM28592","YES")</f>
        <v>YES</v>
      </c>
      <c r="M13" s="8" t="str">
        <f>HYPERLINK("https://www.sheetal.co/Details/StoneDetails/?stoneno=AM28592","YES")</f>
        <v>YES</v>
      </c>
      <c r="N13" s="8" t="str">
        <f>HYPERLINK("https://www.sheetal.co/certificate/2516214462.pdf","2516214462")</f>
        <v>2516214462</v>
      </c>
      <c r="O13" s="6">
        <v>1800</v>
      </c>
      <c r="P13" s="6">
        <v>-46.1</v>
      </c>
      <c r="Q13" s="9">
        <v>970.2</v>
      </c>
      <c r="R13" s="6">
        <v>523.91</v>
      </c>
      <c r="S13" s="1" t="s">
        <v>54</v>
      </c>
      <c r="T13" s="1" t="s">
        <v>55</v>
      </c>
      <c r="U13" s="1" t="s">
        <v>56</v>
      </c>
      <c r="V13" s="1" t="s">
        <v>57</v>
      </c>
      <c r="W13" s="1" t="s">
        <v>58</v>
      </c>
      <c r="X13" s="1" t="s">
        <v>73</v>
      </c>
      <c r="Y13" s="1" t="s">
        <v>80</v>
      </c>
      <c r="Z13" s="1" t="s">
        <v>60</v>
      </c>
      <c r="AA13" s="1" t="s">
        <v>61</v>
      </c>
      <c r="AB13" s="1" t="s">
        <v>62</v>
      </c>
      <c r="AC13" s="1" t="s">
        <v>63</v>
      </c>
      <c r="AD13" s="1" t="s">
        <v>64</v>
      </c>
      <c r="AE13" s="1" t="s">
        <v>96</v>
      </c>
      <c r="AF13" s="1">
        <v>1</v>
      </c>
      <c r="AG13" s="1">
        <v>5.2</v>
      </c>
      <c r="AH13" s="1">
        <v>5.19</v>
      </c>
      <c r="AI13" s="1">
        <v>3.26</v>
      </c>
      <c r="AJ13" s="1">
        <v>4</v>
      </c>
      <c r="AK13" s="1">
        <v>57</v>
      </c>
      <c r="AL13" s="1">
        <v>62.8</v>
      </c>
      <c r="AM13" s="1">
        <v>35</v>
      </c>
      <c r="AN13" s="1">
        <v>15</v>
      </c>
      <c r="AO13" s="1">
        <v>41.4</v>
      </c>
      <c r="AP13" s="1">
        <v>44</v>
      </c>
      <c r="AQ13" s="1" t="s">
        <v>66</v>
      </c>
      <c r="AR13" s="1" t="s">
        <v>67</v>
      </c>
      <c r="AS13" s="1" t="s">
        <v>57</v>
      </c>
      <c r="AT13" s="1" t="s">
        <v>68</v>
      </c>
      <c r="AU13" s="1" t="s">
        <v>57</v>
      </c>
    </row>
    <row r="14" spans="1:47">
      <c r="A14" s="1">
        <v>5</v>
      </c>
      <c r="B14" s="1" t="s">
        <v>90</v>
      </c>
      <c r="C14" s="1" t="s">
        <v>97</v>
      </c>
      <c r="D14" s="6">
        <v>0.54</v>
      </c>
      <c r="E14" s="1" t="s">
        <v>49</v>
      </c>
      <c r="F14" s="1" t="s">
        <v>50</v>
      </c>
      <c r="G14" s="1" t="s">
        <v>86</v>
      </c>
      <c r="H14" s="1" t="s">
        <v>52</v>
      </c>
      <c r="I14" s="1" t="s">
        <v>52</v>
      </c>
      <c r="J14" s="1" t="s">
        <v>52</v>
      </c>
      <c r="K14" s="1" t="s">
        <v>53</v>
      </c>
      <c r="L14" s="8" t="str">
        <f>HYPERLINK("https://www.sheetal.co/Details/StoneDetails/?stoneno=FMS07005","YES")</f>
        <v>YES</v>
      </c>
      <c r="M14" s="8" t="str">
        <f>HYPERLINK("https://www.sheetal.co/Details/StoneDetails/?stoneno=FMS07005","YES")</f>
        <v>YES</v>
      </c>
      <c r="N14" s="8" t="str">
        <f>HYPERLINK("https://www.sheetal.co/certificate/6512326962.pdf","6512326962")</f>
        <v>6512326962</v>
      </c>
      <c r="O14" s="6">
        <v>1300</v>
      </c>
      <c r="P14" s="6">
        <v>-40.39</v>
      </c>
      <c r="Q14" s="9">
        <v>774.93</v>
      </c>
      <c r="R14" s="6">
        <v>418.46</v>
      </c>
      <c r="S14" s="1" t="s">
        <v>58</v>
      </c>
      <c r="T14" s="1" t="s">
        <v>55</v>
      </c>
      <c r="U14" s="1" t="s">
        <v>56</v>
      </c>
      <c r="V14" s="1" t="s">
        <v>57</v>
      </c>
      <c r="W14" s="1" t="s">
        <v>54</v>
      </c>
      <c r="X14" s="1" t="s">
        <v>57</v>
      </c>
      <c r="Y14" s="1" t="s">
        <v>80</v>
      </c>
      <c r="Z14" s="1" t="s">
        <v>74</v>
      </c>
      <c r="AA14" s="1" t="s">
        <v>61</v>
      </c>
      <c r="AB14" s="1" t="s">
        <v>93</v>
      </c>
      <c r="AC14" s="1" t="s">
        <v>63</v>
      </c>
      <c r="AD14" s="1" t="s">
        <v>98</v>
      </c>
      <c r="AE14" s="1" t="s">
        <v>99</v>
      </c>
      <c r="AF14" s="1">
        <v>1.01</v>
      </c>
      <c r="AG14" s="1">
        <v>5.22</v>
      </c>
      <c r="AH14" s="1">
        <v>5.19</v>
      </c>
      <c r="AI14" s="1">
        <v>3.21</v>
      </c>
      <c r="AJ14" s="1">
        <v>4</v>
      </c>
      <c r="AK14" s="1">
        <v>58</v>
      </c>
      <c r="AL14" s="1">
        <v>61.7</v>
      </c>
      <c r="AM14" s="1">
        <v>35.5</v>
      </c>
      <c r="AN14" s="1">
        <v>15</v>
      </c>
      <c r="AO14" s="1">
        <v>40.6</v>
      </c>
      <c r="AP14" s="1">
        <v>43</v>
      </c>
      <c r="AQ14" s="1" t="s">
        <v>66</v>
      </c>
      <c r="AR14" s="1" t="s">
        <v>67</v>
      </c>
      <c r="AS14" s="1" t="s">
        <v>57</v>
      </c>
      <c r="AT14" s="1" t="s">
        <v>68</v>
      </c>
      <c r="AU14" s="1" t="s">
        <v>57</v>
      </c>
    </row>
    <row r="15" spans="1:47">
      <c r="A15" s="1">
        <v>6</v>
      </c>
      <c r="B15" s="1" t="s">
        <v>90</v>
      </c>
      <c r="C15" s="1" t="s">
        <v>100</v>
      </c>
      <c r="D15" s="6">
        <v>0.5</v>
      </c>
      <c r="E15" s="1" t="s">
        <v>49</v>
      </c>
      <c r="F15" s="1" t="s">
        <v>78</v>
      </c>
      <c r="G15" s="1" t="s">
        <v>86</v>
      </c>
      <c r="H15" s="1" t="s">
        <v>52</v>
      </c>
      <c r="I15" s="1" t="s">
        <v>52</v>
      </c>
      <c r="J15" s="1" t="s">
        <v>79</v>
      </c>
      <c r="K15" s="1" t="s">
        <v>53</v>
      </c>
      <c r="L15" s="8" t="str">
        <f>HYPERLINK("https://www.sheetal.co/Details/StoneDetails/?stoneno=RS21860","YES")</f>
        <v>YES</v>
      </c>
      <c r="M15" s="8" t="str">
        <f>HYPERLINK("https://www.sheetal.co/Details/StoneDetails/?stoneno=RS21860","YES")</f>
        <v>YES</v>
      </c>
      <c r="N15" s="8" t="str">
        <f>HYPERLINK("https://www.sheetal.co/certificate/1515207025.pdf","1515207025")</f>
        <v>1515207025</v>
      </c>
      <c r="O15" s="6">
        <v>1700</v>
      </c>
      <c r="P15" s="6">
        <v>-45.42</v>
      </c>
      <c r="Q15" s="9">
        <v>927.86</v>
      </c>
      <c r="R15" s="6">
        <v>463.93</v>
      </c>
      <c r="S15" s="1" t="s">
        <v>58</v>
      </c>
      <c r="T15" s="1" t="s">
        <v>55</v>
      </c>
      <c r="U15" s="1" t="s">
        <v>56</v>
      </c>
      <c r="V15" s="1" t="s">
        <v>57</v>
      </c>
      <c r="W15" s="1" t="s">
        <v>58</v>
      </c>
      <c r="X15" s="1" t="s">
        <v>57</v>
      </c>
      <c r="Y15" s="1" t="s">
        <v>80</v>
      </c>
      <c r="Z15" s="1" t="s">
        <v>74</v>
      </c>
      <c r="AA15" s="1" t="s">
        <v>87</v>
      </c>
      <c r="AB15" s="1" t="s">
        <v>62</v>
      </c>
      <c r="AC15" s="1" t="s">
        <v>88</v>
      </c>
      <c r="AD15" s="1" t="s">
        <v>64</v>
      </c>
      <c r="AE15" s="1" t="s">
        <v>101</v>
      </c>
      <c r="AF15" s="1">
        <v>1.01</v>
      </c>
      <c r="AG15" s="1">
        <v>5.1</v>
      </c>
      <c r="AH15" s="1">
        <v>5.03</v>
      </c>
      <c r="AI15" s="1">
        <v>3.15</v>
      </c>
      <c r="AJ15" s="1">
        <v>4</v>
      </c>
      <c r="AK15" s="1">
        <v>55</v>
      </c>
      <c r="AL15" s="1">
        <v>62.2</v>
      </c>
      <c r="AM15" s="1">
        <v>34</v>
      </c>
      <c r="AN15" s="1">
        <v>15.5</v>
      </c>
      <c r="AO15" s="1">
        <v>40.6</v>
      </c>
      <c r="AP15" s="1">
        <v>43</v>
      </c>
      <c r="AQ15" s="1" t="s">
        <v>102</v>
      </c>
      <c r="AR15" s="1" t="s">
        <v>67</v>
      </c>
      <c r="AS15" s="1" t="s">
        <v>57</v>
      </c>
      <c r="AT15" s="1" t="s">
        <v>68</v>
      </c>
      <c r="AU15" s="1" t="s">
        <v>57</v>
      </c>
    </row>
    <row r="16" spans="1:47">
      <c r="A16" s="1">
        <v>7</v>
      </c>
      <c r="B16" s="1" t="s">
        <v>103</v>
      </c>
      <c r="C16" s="1" t="s">
        <v>104</v>
      </c>
      <c r="D16" s="6">
        <v>0.41</v>
      </c>
      <c r="E16" s="1" t="s">
        <v>49</v>
      </c>
      <c r="F16" s="1" t="s">
        <v>92</v>
      </c>
      <c r="G16" s="1" t="s">
        <v>86</v>
      </c>
      <c r="H16" s="1" t="s">
        <v>52</v>
      </c>
      <c r="I16" s="1" t="s">
        <v>52</v>
      </c>
      <c r="J16" s="1" t="s">
        <v>52</v>
      </c>
      <c r="K16" s="1" t="s">
        <v>53</v>
      </c>
      <c r="L16" s="8" t="str">
        <f>HYPERLINK("https://www.sheetal.co/Details/StoneDetails/?stoneno=RS06711","YES")</f>
        <v>YES</v>
      </c>
      <c r="M16" s="8" t="str">
        <f>HYPERLINK("https://www.sheetal.co/Details/StoneDetails/?stoneno=RS06711","YES")</f>
        <v>YES</v>
      </c>
      <c r="N16" s="8" t="str">
        <f>HYPERLINK("https://www.sheetal.co/certificate/2508427912.pdf","2508427912")</f>
        <v>2508427912</v>
      </c>
      <c r="O16" s="6">
        <v>1600</v>
      </c>
      <c r="P16" s="6">
        <v>-47.01</v>
      </c>
      <c r="Q16" s="9">
        <v>847.84</v>
      </c>
      <c r="R16" s="6">
        <v>347.61</v>
      </c>
      <c r="S16" s="1" t="s">
        <v>58</v>
      </c>
      <c r="T16" s="1" t="s">
        <v>55</v>
      </c>
      <c r="U16" s="1" t="s">
        <v>56</v>
      </c>
      <c r="V16" s="1" t="s">
        <v>57</v>
      </c>
      <c r="W16" s="1" t="s">
        <v>58</v>
      </c>
      <c r="X16" s="1" t="s">
        <v>57</v>
      </c>
      <c r="Y16" s="1" t="s">
        <v>80</v>
      </c>
      <c r="Z16" s="1" t="s">
        <v>74</v>
      </c>
      <c r="AA16" s="1" t="s">
        <v>61</v>
      </c>
      <c r="AB16" s="1" t="s">
        <v>93</v>
      </c>
      <c r="AC16" s="1" t="s">
        <v>88</v>
      </c>
      <c r="AD16" s="1" t="s">
        <v>82</v>
      </c>
      <c r="AE16" s="1" t="s">
        <v>83</v>
      </c>
      <c r="AF16" s="1">
        <v>1.01</v>
      </c>
      <c r="AG16" s="1">
        <v>4.78</v>
      </c>
      <c r="AH16" s="1">
        <v>4.75</v>
      </c>
      <c r="AI16" s="1">
        <v>2.95</v>
      </c>
      <c r="AJ16" s="1">
        <v>4</v>
      </c>
      <c r="AK16" s="1">
        <v>59</v>
      </c>
      <c r="AL16" s="1">
        <v>61.9</v>
      </c>
      <c r="AM16" s="1">
        <v>35</v>
      </c>
      <c r="AN16" s="1">
        <v>14.5</v>
      </c>
      <c r="AO16" s="1">
        <v>41</v>
      </c>
      <c r="AP16" s="1">
        <v>43.5</v>
      </c>
      <c r="AQ16" s="1" t="s">
        <v>66</v>
      </c>
      <c r="AR16" s="1" t="s">
        <v>67</v>
      </c>
      <c r="AS16" s="1" t="s">
        <v>57</v>
      </c>
      <c r="AT16" s="1" t="s">
        <v>68</v>
      </c>
      <c r="AU16" s="1" t="s">
        <v>57</v>
      </c>
    </row>
    <row r="17" spans="1:47">
      <c r="A17" s="1">
        <v>8</v>
      </c>
      <c r="B17" s="1" t="s">
        <v>103</v>
      </c>
      <c r="C17" s="1" t="s">
        <v>105</v>
      </c>
      <c r="D17" s="6">
        <v>0.4</v>
      </c>
      <c r="E17" s="1" t="s">
        <v>49</v>
      </c>
      <c r="F17" s="1" t="s">
        <v>78</v>
      </c>
      <c r="G17" s="1" t="s">
        <v>86</v>
      </c>
      <c r="H17" s="1" t="s">
        <v>52</v>
      </c>
      <c r="I17" s="1" t="s">
        <v>79</v>
      </c>
      <c r="J17" s="1" t="s">
        <v>79</v>
      </c>
      <c r="K17" s="1" t="s">
        <v>53</v>
      </c>
      <c r="L17" s="8" t="str">
        <f>HYPERLINK("https://www.sheetal.co/Details/StoneDetails/?stoneno=RS16776","YES")</f>
        <v>YES</v>
      </c>
      <c r="M17" s="8" t="str">
        <f>HYPERLINK("https://www.sheetal.co/Details/StoneDetails/?stoneno=RS16776","YES")</f>
        <v>YES</v>
      </c>
      <c r="N17" s="8" t="str">
        <f>HYPERLINK("https://www.sheetal.co/certificate/2504865849.pdf","2504865849")</f>
        <v>2504865849</v>
      </c>
      <c r="O17" s="6">
        <v>1500</v>
      </c>
      <c r="P17" s="6">
        <v>-46.35</v>
      </c>
      <c r="Q17" s="9">
        <v>804.75</v>
      </c>
      <c r="R17" s="6">
        <v>321.9</v>
      </c>
      <c r="S17" s="1" t="s">
        <v>54</v>
      </c>
      <c r="T17" s="1" t="s">
        <v>55</v>
      </c>
      <c r="U17" s="1" t="s">
        <v>56</v>
      </c>
      <c r="V17" s="1" t="s">
        <v>57</v>
      </c>
      <c r="W17" s="1" t="s">
        <v>58</v>
      </c>
      <c r="X17" s="1" t="s">
        <v>57</v>
      </c>
      <c r="Y17" s="1" t="s">
        <v>80</v>
      </c>
      <c r="Z17" s="1" t="s">
        <v>74</v>
      </c>
      <c r="AA17" s="1" t="s">
        <v>87</v>
      </c>
      <c r="AB17" s="1" t="s">
        <v>93</v>
      </c>
      <c r="AC17" s="1" t="s">
        <v>88</v>
      </c>
      <c r="AD17" s="1" t="s">
        <v>64</v>
      </c>
      <c r="AE17" s="1" t="s">
        <v>106</v>
      </c>
      <c r="AF17" s="1">
        <v>1.01</v>
      </c>
      <c r="AG17" s="1">
        <v>4.71</v>
      </c>
      <c r="AH17" s="1">
        <v>4.67</v>
      </c>
      <c r="AI17" s="1">
        <v>2.93</v>
      </c>
      <c r="AJ17" s="1">
        <v>4</v>
      </c>
      <c r="AK17" s="1">
        <v>56</v>
      </c>
      <c r="AL17" s="1">
        <v>62.4</v>
      </c>
      <c r="AM17" s="1">
        <v>35.5</v>
      </c>
      <c r="AN17" s="1">
        <v>15.5</v>
      </c>
      <c r="AO17" s="1">
        <v>40.6</v>
      </c>
      <c r="AP17" s="1">
        <v>42.5</v>
      </c>
      <c r="AQ17" s="1" t="s">
        <v>102</v>
      </c>
      <c r="AR17" s="1" t="s">
        <v>67</v>
      </c>
      <c r="AS17" s="1" t="s">
        <v>57</v>
      </c>
      <c r="AT17" s="1" t="s">
        <v>68</v>
      </c>
      <c r="AU17" s="1" t="s">
        <v>57</v>
      </c>
    </row>
    <row r="18" spans="1:47">
      <c r="A18" s="1">
        <v>9</v>
      </c>
      <c r="B18" s="1" t="s">
        <v>103</v>
      </c>
      <c r="C18" s="1" t="s">
        <v>107</v>
      </c>
      <c r="D18" s="6">
        <v>0.4</v>
      </c>
      <c r="E18" s="1" t="s">
        <v>49</v>
      </c>
      <c r="F18" s="1" t="s">
        <v>108</v>
      </c>
      <c r="G18" s="1" t="s">
        <v>86</v>
      </c>
      <c r="H18" s="1" t="s">
        <v>52</v>
      </c>
      <c r="I18" s="1" t="s">
        <v>52</v>
      </c>
      <c r="J18" s="1" t="s">
        <v>52</v>
      </c>
      <c r="K18" s="1" t="s">
        <v>53</v>
      </c>
      <c r="L18" s="8" t="str">
        <f>HYPERLINK("https://www.sheetal.co/Details/StoneDetails/?stoneno=AM30558","YES")</f>
        <v>YES</v>
      </c>
      <c r="M18" s="8" t="str">
        <f>HYPERLINK("https://www.sheetal.co/Details/StoneDetails/?stoneno=AM30558","YES")</f>
        <v>YES</v>
      </c>
      <c r="N18" s="8" t="str">
        <f>HYPERLINK("https://www.sheetal.co/certificate/2516329296.pdf","2516329296")</f>
        <v>2516329296</v>
      </c>
      <c r="O18" s="6">
        <v>1300</v>
      </c>
      <c r="P18" s="6">
        <v>-37.19</v>
      </c>
      <c r="Q18" s="9">
        <v>816.53</v>
      </c>
      <c r="R18" s="6">
        <v>326.61</v>
      </c>
      <c r="S18" s="1" t="s">
        <v>58</v>
      </c>
      <c r="T18" s="1" t="s">
        <v>55</v>
      </c>
      <c r="U18" s="1" t="s">
        <v>56</v>
      </c>
      <c r="V18" s="1" t="s">
        <v>57</v>
      </c>
      <c r="W18" s="1" t="s">
        <v>54</v>
      </c>
      <c r="X18" s="1" t="s">
        <v>57</v>
      </c>
      <c r="Y18" s="1" t="s">
        <v>80</v>
      </c>
      <c r="Z18" s="1" t="s">
        <v>74</v>
      </c>
      <c r="AA18" s="1" t="s">
        <v>87</v>
      </c>
      <c r="AB18" s="1" t="s">
        <v>93</v>
      </c>
      <c r="AC18" s="1" t="s">
        <v>63</v>
      </c>
      <c r="AD18" s="1" t="s">
        <v>98</v>
      </c>
      <c r="AE18" s="1" t="s">
        <v>109</v>
      </c>
      <c r="AF18" s="1">
        <v>1.01</v>
      </c>
      <c r="AG18" s="1">
        <v>4.77</v>
      </c>
      <c r="AH18" s="1">
        <v>4.74</v>
      </c>
      <c r="AI18" s="1">
        <v>2.87</v>
      </c>
      <c r="AJ18" s="1">
        <v>4</v>
      </c>
      <c r="AK18" s="1">
        <v>60</v>
      </c>
      <c r="AL18" s="1">
        <v>60.3</v>
      </c>
      <c r="AM18" s="1">
        <v>33</v>
      </c>
      <c r="AN18" s="1">
        <v>13</v>
      </c>
      <c r="AO18" s="1">
        <v>41</v>
      </c>
      <c r="AP18" s="1">
        <v>43.5</v>
      </c>
      <c r="AQ18" s="1" t="s">
        <v>66</v>
      </c>
      <c r="AR18" s="1" t="s">
        <v>67</v>
      </c>
      <c r="AS18" s="1" t="s">
        <v>57</v>
      </c>
      <c r="AT18" s="1" t="s">
        <v>68</v>
      </c>
      <c r="AU18" s="1" t="s">
        <v>110</v>
      </c>
    </row>
    <row r="19" spans="1:47">
      <c r="A19" s="1">
        <v>10</v>
      </c>
      <c r="B19" s="1" t="s">
        <v>111</v>
      </c>
      <c r="C19" s="1" t="s">
        <v>112</v>
      </c>
      <c r="D19" s="6">
        <v>0.38</v>
      </c>
      <c r="E19" s="1" t="s">
        <v>49</v>
      </c>
      <c r="F19" s="1" t="s">
        <v>113</v>
      </c>
      <c r="G19" s="1" t="s">
        <v>86</v>
      </c>
      <c r="H19" s="1" t="s">
        <v>52</v>
      </c>
      <c r="I19" s="1" t="s">
        <v>52</v>
      </c>
      <c r="J19" s="1" t="s">
        <v>52</v>
      </c>
      <c r="K19" s="1" t="s">
        <v>53</v>
      </c>
      <c r="L19" s="8" t="str">
        <f>HYPERLINK("https://www.sheetal.co/Details/StoneDetails/?stoneno=RM18771","YES")</f>
        <v>YES</v>
      </c>
      <c r="M19" s="8" t="str">
        <f>HYPERLINK("https://www.sheetal.co/Details/StoneDetails/?stoneno=RM18771","YES")</f>
        <v>YES</v>
      </c>
      <c r="N19" s="8" t="str">
        <f>HYPERLINK("https://www.sheetal.co/certificate/7488948438.pdf","7488948438")</f>
        <v>7488948438</v>
      </c>
      <c r="O19" s="6">
        <v>1500</v>
      </c>
      <c r="P19" s="6">
        <v>-48.46</v>
      </c>
      <c r="Q19" s="9">
        <v>773.1</v>
      </c>
      <c r="R19" s="6">
        <v>293.78</v>
      </c>
      <c r="S19" s="1" t="s">
        <v>58</v>
      </c>
      <c r="T19" s="1" t="s">
        <v>55</v>
      </c>
      <c r="U19" s="1" t="s">
        <v>56</v>
      </c>
      <c r="V19" s="1" t="s">
        <v>57</v>
      </c>
      <c r="W19" s="1" t="s">
        <v>54</v>
      </c>
      <c r="X19" s="1" t="s">
        <v>57</v>
      </c>
      <c r="Y19" s="1" t="s">
        <v>80</v>
      </c>
      <c r="Z19" s="1" t="s">
        <v>74</v>
      </c>
      <c r="AA19" s="1" t="s">
        <v>87</v>
      </c>
      <c r="AB19" s="1" t="s">
        <v>93</v>
      </c>
      <c r="AC19" s="1" t="s">
        <v>88</v>
      </c>
      <c r="AD19" s="1" t="s">
        <v>64</v>
      </c>
      <c r="AE19" s="1" t="s">
        <v>114</v>
      </c>
      <c r="AF19" s="1">
        <v>1.01</v>
      </c>
      <c r="AG19" s="1">
        <v>4.63</v>
      </c>
      <c r="AH19" s="1">
        <v>4.6</v>
      </c>
      <c r="AI19" s="1">
        <v>2.89</v>
      </c>
      <c r="AJ19" s="1">
        <v>4</v>
      </c>
      <c r="AK19" s="1">
        <v>56</v>
      </c>
      <c r="AL19" s="1">
        <v>62.7</v>
      </c>
      <c r="AM19" s="1">
        <v>35</v>
      </c>
      <c r="AN19" s="1">
        <v>15.5</v>
      </c>
      <c r="AO19" s="1">
        <v>40.8</v>
      </c>
      <c r="AP19" s="1">
        <v>43</v>
      </c>
      <c r="AQ19" s="1" t="s">
        <v>66</v>
      </c>
      <c r="AR19" s="1" t="s">
        <v>67</v>
      </c>
      <c r="AS19" s="1" t="s">
        <v>57</v>
      </c>
      <c r="AT19" s="1" t="s">
        <v>68</v>
      </c>
      <c r="AU19" s="1" t="s">
        <v>57</v>
      </c>
    </row>
    <row r="20" spans="1:47">
      <c r="A20" s="1">
        <v>11</v>
      </c>
      <c r="B20" s="1" t="s">
        <v>111</v>
      </c>
      <c r="C20" s="1" t="s">
        <v>115</v>
      </c>
      <c r="D20" s="6">
        <v>0.37</v>
      </c>
      <c r="E20" s="1" t="s">
        <v>49</v>
      </c>
      <c r="F20" s="1" t="s">
        <v>71</v>
      </c>
      <c r="G20" s="1" t="s">
        <v>86</v>
      </c>
      <c r="H20" s="1" t="s">
        <v>52</v>
      </c>
      <c r="I20" s="1" t="s">
        <v>52</v>
      </c>
      <c r="J20" s="1" t="s">
        <v>52</v>
      </c>
      <c r="K20" s="1" t="s">
        <v>53</v>
      </c>
      <c r="L20" s="8" t="str">
        <f>HYPERLINK("https://www.sheetal.co/Details/StoneDetails/?stoneno=AM28008","YES")</f>
        <v>YES</v>
      </c>
      <c r="M20" s="8" t="str">
        <f>HYPERLINK("https://www.sheetal.co/Details/StoneDetails/?stoneno=AM28008","YES")</f>
        <v>YES</v>
      </c>
      <c r="N20" s="8" t="str">
        <f>HYPERLINK("https://www.sheetal.co/certificate/7508857116.pdf","7508857116")</f>
        <v>7508857116</v>
      </c>
      <c r="O20" s="6">
        <v>1600</v>
      </c>
      <c r="P20" s="6">
        <v>-46.8</v>
      </c>
      <c r="Q20" s="9">
        <v>851.2</v>
      </c>
      <c r="R20" s="6">
        <v>314.94</v>
      </c>
      <c r="S20" s="1" t="s">
        <v>58</v>
      </c>
      <c r="T20" s="1" t="s">
        <v>55</v>
      </c>
      <c r="U20" s="1" t="s">
        <v>56</v>
      </c>
      <c r="V20" s="1" t="s">
        <v>57</v>
      </c>
      <c r="W20" s="1" t="s">
        <v>58</v>
      </c>
      <c r="X20" s="1" t="s">
        <v>57</v>
      </c>
      <c r="Y20" s="1" t="s">
        <v>80</v>
      </c>
      <c r="Z20" s="1" t="s">
        <v>74</v>
      </c>
      <c r="AA20" s="1" t="s">
        <v>61</v>
      </c>
      <c r="AB20" s="1" t="s">
        <v>93</v>
      </c>
      <c r="AC20" s="1" t="s">
        <v>88</v>
      </c>
      <c r="AD20" s="1" t="s">
        <v>82</v>
      </c>
      <c r="AE20" s="1" t="s">
        <v>116</v>
      </c>
      <c r="AF20" s="1">
        <v>1.01</v>
      </c>
      <c r="AG20" s="1">
        <v>4.59</v>
      </c>
      <c r="AH20" s="1">
        <v>4.56</v>
      </c>
      <c r="AI20" s="1">
        <v>2.85</v>
      </c>
      <c r="AJ20" s="1">
        <v>4</v>
      </c>
      <c r="AK20" s="1">
        <v>57</v>
      </c>
      <c r="AL20" s="1">
        <v>62.2</v>
      </c>
      <c r="AM20" s="1">
        <v>35.5</v>
      </c>
      <c r="AN20" s="1">
        <v>15</v>
      </c>
      <c r="AO20" s="1">
        <v>40.8</v>
      </c>
      <c r="AP20" s="1">
        <v>43</v>
      </c>
      <c r="AQ20" s="1" t="s">
        <v>66</v>
      </c>
      <c r="AR20" s="1" t="s">
        <v>67</v>
      </c>
      <c r="AS20" s="1" t="s">
        <v>57</v>
      </c>
      <c r="AT20" s="1" t="s">
        <v>68</v>
      </c>
      <c r="AU20" s="1" t="s">
        <v>57</v>
      </c>
    </row>
    <row r="21" spans="1:47">
      <c r="A21" s="1">
        <v>12</v>
      </c>
      <c r="B21" s="1" t="s">
        <v>111</v>
      </c>
      <c r="C21" s="1" t="s">
        <v>117</v>
      </c>
      <c r="D21" s="6">
        <v>0.36</v>
      </c>
      <c r="E21" s="1" t="s">
        <v>49</v>
      </c>
      <c r="F21" s="1" t="s">
        <v>113</v>
      </c>
      <c r="G21" s="1" t="s">
        <v>72</v>
      </c>
      <c r="H21" s="1" t="s">
        <v>52</v>
      </c>
      <c r="I21" s="1" t="s">
        <v>52</v>
      </c>
      <c r="J21" s="1" t="s">
        <v>52</v>
      </c>
      <c r="K21" s="1" t="s">
        <v>53</v>
      </c>
      <c r="L21" s="8" t="str">
        <f>HYPERLINK("https://www.sheetal.co/Details/StoneDetails/?stoneno=AM29749","YES")</f>
        <v>YES</v>
      </c>
      <c r="M21" s="8" t="str">
        <f>HYPERLINK("https://www.sheetal.co/Details/StoneDetails/?stoneno=AM29749","YES")</f>
        <v>YES</v>
      </c>
      <c r="N21" s="8" t="str">
        <f>HYPERLINK("https://www.sheetal.co/certificate/1513334778.pdf","1513334778")</f>
        <v>1513334778</v>
      </c>
      <c r="O21" s="6">
        <v>1700</v>
      </c>
      <c r="P21" s="6">
        <v>-38.66</v>
      </c>
      <c r="Q21" s="9">
        <v>1042.78</v>
      </c>
      <c r="R21" s="6">
        <v>375.4</v>
      </c>
      <c r="S21" s="1" t="s">
        <v>58</v>
      </c>
      <c r="T21" s="1" t="s">
        <v>55</v>
      </c>
      <c r="U21" s="1" t="s">
        <v>56</v>
      </c>
      <c r="V21" s="1" t="s">
        <v>57</v>
      </c>
      <c r="W21" s="1" t="s">
        <v>54</v>
      </c>
      <c r="X21" s="1" t="s">
        <v>73</v>
      </c>
      <c r="Y21" s="1" t="s">
        <v>80</v>
      </c>
      <c r="Z21" s="1" t="s">
        <v>74</v>
      </c>
      <c r="AA21" s="1" t="s">
        <v>61</v>
      </c>
      <c r="AB21" s="1" t="s">
        <v>61</v>
      </c>
      <c r="AC21" s="1" t="s">
        <v>63</v>
      </c>
      <c r="AD21" s="1" t="s">
        <v>61</v>
      </c>
      <c r="AE21" s="1" t="s">
        <v>118</v>
      </c>
      <c r="AF21" s="1">
        <v>1</v>
      </c>
      <c r="AG21" s="1">
        <v>4.58</v>
      </c>
      <c r="AH21" s="1">
        <v>4.56</v>
      </c>
      <c r="AI21" s="1">
        <v>2.82</v>
      </c>
      <c r="AJ21" s="1">
        <v>4</v>
      </c>
      <c r="AK21" s="1">
        <v>57</v>
      </c>
      <c r="AL21" s="1">
        <v>61.8</v>
      </c>
      <c r="AM21" s="1">
        <v>33.5</v>
      </c>
      <c r="AN21" s="1">
        <v>14</v>
      </c>
      <c r="AO21" s="1">
        <v>41.2</v>
      </c>
      <c r="AP21" s="1">
        <v>43.5</v>
      </c>
      <c r="AQ21" s="1" t="s">
        <v>66</v>
      </c>
      <c r="AR21" s="1" t="s">
        <v>67</v>
      </c>
      <c r="AS21" s="1" t="s">
        <v>57</v>
      </c>
      <c r="AT21" s="1" t="s">
        <v>68</v>
      </c>
      <c r="AU21" s="1" t="s">
        <v>57</v>
      </c>
    </row>
    <row r="22" spans="1:47">
      <c r="A22" s="1">
        <v>13</v>
      </c>
      <c r="B22" s="1" t="s">
        <v>111</v>
      </c>
      <c r="C22" s="1" t="s">
        <v>119</v>
      </c>
      <c r="D22" s="6">
        <v>0.35</v>
      </c>
      <c r="E22" s="1" t="s">
        <v>49</v>
      </c>
      <c r="F22" s="1" t="s">
        <v>71</v>
      </c>
      <c r="G22" s="1" t="s">
        <v>51</v>
      </c>
      <c r="H22" s="1" t="s">
        <v>52</v>
      </c>
      <c r="I22" s="1" t="s">
        <v>52</v>
      </c>
      <c r="J22" s="1" t="s">
        <v>52</v>
      </c>
      <c r="K22" s="1" t="s">
        <v>53</v>
      </c>
      <c r="L22" s="8" t="str">
        <f>HYPERLINK("https://www.sheetal.co/Details/StoneDetails/?stoneno=RS19062","YES")</f>
        <v>YES</v>
      </c>
      <c r="M22" s="8" t="str">
        <f>HYPERLINK("https://www.sheetal.co/Details/StoneDetails/?stoneno=RS19062","YES")</f>
        <v>YES</v>
      </c>
      <c r="N22" s="8" t="str">
        <f>HYPERLINK("https://www.sheetal.co/certificate/6512100144.pdf","6512100144")</f>
        <v>6512100144</v>
      </c>
      <c r="O22" s="6">
        <v>1700</v>
      </c>
      <c r="P22" s="6">
        <v>-40.56</v>
      </c>
      <c r="Q22" s="9">
        <v>1010.48</v>
      </c>
      <c r="R22" s="6">
        <v>353.67</v>
      </c>
      <c r="S22" s="1" t="s">
        <v>58</v>
      </c>
      <c r="T22" s="1" t="s">
        <v>55</v>
      </c>
      <c r="U22" s="1" t="s">
        <v>56</v>
      </c>
      <c r="V22" s="1" t="s">
        <v>57</v>
      </c>
      <c r="W22" s="1" t="s">
        <v>58</v>
      </c>
      <c r="X22" s="1" t="s">
        <v>73</v>
      </c>
      <c r="Y22" s="1" t="s">
        <v>80</v>
      </c>
      <c r="Z22" s="1" t="s">
        <v>74</v>
      </c>
      <c r="AA22" s="1" t="s">
        <v>81</v>
      </c>
      <c r="AB22" s="1" t="s">
        <v>62</v>
      </c>
      <c r="AC22" s="1" t="s">
        <v>63</v>
      </c>
      <c r="AD22" s="1" t="s">
        <v>64</v>
      </c>
      <c r="AE22" s="1" t="s">
        <v>83</v>
      </c>
      <c r="AF22" s="1">
        <v>1.01</v>
      </c>
      <c r="AG22" s="1">
        <v>4.53</v>
      </c>
      <c r="AH22" s="1">
        <v>4.5</v>
      </c>
      <c r="AI22" s="1">
        <v>2.8</v>
      </c>
      <c r="AJ22" s="1">
        <v>4</v>
      </c>
      <c r="AK22" s="1">
        <v>57</v>
      </c>
      <c r="AL22" s="1">
        <v>62</v>
      </c>
      <c r="AM22" s="1">
        <v>35</v>
      </c>
      <c r="AN22" s="1">
        <v>15</v>
      </c>
      <c r="AO22" s="1">
        <v>40.8</v>
      </c>
      <c r="AP22" s="1">
        <v>43</v>
      </c>
      <c r="AQ22" s="1" t="s">
        <v>66</v>
      </c>
      <c r="AR22" s="1" t="s">
        <v>67</v>
      </c>
      <c r="AS22" s="1" t="s">
        <v>57</v>
      </c>
      <c r="AT22" s="1" t="s">
        <v>68</v>
      </c>
      <c r="AU22" s="1" t="s">
        <v>110</v>
      </c>
    </row>
    <row r="23" spans="1:47">
      <c r="A23" s="1">
        <v>14</v>
      </c>
      <c r="B23" s="1" t="s">
        <v>111</v>
      </c>
      <c r="C23" s="1" t="s">
        <v>120</v>
      </c>
      <c r="D23" s="6">
        <v>0.35</v>
      </c>
      <c r="E23" s="1" t="s">
        <v>49</v>
      </c>
      <c r="F23" s="1" t="s">
        <v>113</v>
      </c>
      <c r="G23" s="1" t="s">
        <v>86</v>
      </c>
      <c r="H23" s="1" t="s">
        <v>52</v>
      </c>
      <c r="I23" s="1" t="s">
        <v>52</v>
      </c>
      <c r="J23" s="1" t="s">
        <v>52</v>
      </c>
      <c r="K23" s="1" t="s">
        <v>53</v>
      </c>
      <c r="L23" s="8" t="str">
        <f>HYPERLINK("https://www.sheetal.co/Details/StoneDetails/?stoneno=AM30901","YES")</f>
        <v>YES</v>
      </c>
      <c r="M23" s="8" t="str">
        <f>HYPERLINK("https://www.sheetal.co/Details/StoneDetails/?stoneno=AM30901","YES")</f>
        <v>YES</v>
      </c>
      <c r="N23" s="8" t="str">
        <f>HYPERLINK("https://www.sheetal.co/certificate/7512334687.pdf","7512334687")</f>
        <v>7512334687</v>
      </c>
      <c r="O23" s="6">
        <v>1500</v>
      </c>
      <c r="P23" s="6">
        <v>-39.78</v>
      </c>
      <c r="Q23" s="9">
        <v>903.3</v>
      </c>
      <c r="R23" s="6">
        <v>316.15</v>
      </c>
      <c r="S23" s="1" t="s">
        <v>58</v>
      </c>
      <c r="T23" s="1" t="s">
        <v>55</v>
      </c>
      <c r="U23" s="1" t="s">
        <v>56</v>
      </c>
      <c r="V23" s="1" t="s">
        <v>57</v>
      </c>
      <c r="W23" s="1" t="s">
        <v>58</v>
      </c>
      <c r="X23" s="1" t="s">
        <v>73</v>
      </c>
      <c r="Y23" s="1" t="s">
        <v>80</v>
      </c>
      <c r="Z23" s="1" t="s">
        <v>74</v>
      </c>
      <c r="AA23" s="1" t="s">
        <v>87</v>
      </c>
      <c r="AB23" s="1" t="s">
        <v>62</v>
      </c>
      <c r="AC23" s="1" t="s">
        <v>63</v>
      </c>
      <c r="AD23" s="1" t="s">
        <v>64</v>
      </c>
      <c r="AE23" s="1" t="s">
        <v>101</v>
      </c>
      <c r="AF23" s="1">
        <v>1.01</v>
      </c>
      <c r="AG23" s="1">
        <v>4.52</v>
      </c>
      <c r="AH23" s="1">
        <v>4.49</v>
      </c>
      <c r="AI23" s="1">
        <v>2.81</v>
      </c>
      <c r="AJ23" s="1">
        <v>4</v>
      </c>
      <c r="AK23" s="1">
        <v>56</v>
      </c>
      <c r="AL23" s="1">
        <v>62.4</v>
      </c>
      <c r="AM23" s="1">
        <v>35</v>
      </c>
      <c r="AN23" s="1">
        <v>15.5</v>
      </c>
      <c r="AO23" s="1">
        <v>41</v>
      </c>
      <c r="AP23" s="1">
        <v>43.5</v>
      </c>
      <c r="AQ23" s="1" t="s">
        <v>66</v>
      </c>
      <c r="AR23" s="1" t="s">
        <v>67</v>
      </c>
      <c r="AS23" s="1" t="s">
        <v>57</v>
      </c>
      <c r="AT23" s="1" t="s">
        <v>68</v>
      </c>
      <c r="AU23" s="1" t="s">
        <v>110</v>
      </c>
    </row>
    <row r="24" spans="1:47">
      <c r="A24" s="1">
        <v>15</v>
      </c>
      <c r="B24" s="1" t="s">
        <v>111</v>
      </c>
      <c r="C24" s="1" t="s">
        <v>121</v>
      </c>
      <c r="D24" s="6">
        <v>0.35</v>
      </c>
      <c r="E24" s="1" t="s">
        <v>49</v>
      </c>
      <c r="F24" s="1" t="s">
        <v>92</v>
      </c>
      <c r="G24" s="1" t="s">
        <v>51</v>
      </c>
      <c r="H24" s="1" t="s">
        <v>52</v>
      </c>
      <c r="I24" s="1" t="s">
        <v>52</v>
      </c>
      <c r="J24" s="1" t="s">
        <v>52</v>
      </c>
      <c r="K24" s="1" t="s">
        <v>53</v>
      </c>
      <c r="L24" s="8" t="str">
        <f>HYPERLINK("https://www.sheetal.co/Details/StoneDetails/?stoneno=AM26380","YES")</f>
        <v>YES</v>
      </c>
      <c r="M24" s="8" t="str">
        <f>HYPERLINK("https://www.sheetal.co/Details/StoneDetails/?stoneno=AM26380","YES")</f>
        <v>YES</v>
      </c>
      <c r="N24" s="8" t="str">
        <f>HYPERLINK("https://www.sheetal.co/certificate/7501789911.pdf","7501789911")</f>
        <v>7501789911</v>
      </c>
      <c r="O24" s="6">
        <v>1500</v>
      </c>
      <c r="P24" s="6">
        <v>-40.04</v>
      </c>
      <c r="Q24" s="9">
        <v>899.4</v>
      </c>
      <c r="R24" s="6">
        <v>314.79</v>
      </c>
      <c r="S24" s="1" t="s">
        <v>58</v>
      </c>
      <c r="T24" s="1" t="s">
        <v>55</v>
      </c>
      <c r="U24" s="1" t="s">
        <v>56</v>
      </c>
      <c r="V24" s="1" t="s">
        <v>57</v>
      </c>
      <c r="W24" s="1" t="s">
        <v>54</v>
      </c>
      <c r="X24" s="1" t="s">
        <v>73</v>
      </c>
      <c r="Y24" s="1" t="s">
        <v>80</v>
      </c>
      <c r="Z24" s="1" t="s">
        <v>74</v>
      </c>
      <c r="AA24" s="1" t="s">
        <v>61</v>
      </c>
      <c r="AB24" s="1" t="s">
        <v>62</v>
      </c>
      <c r="AC24" s="1" t="s">
        <v>88</v>
      </c>
      <c r="AD24" s="1" t="s">
        <v>64</v>
      </c>
      <c r="AE24" s="1" t="s">
        <v>122</v>
      </c>
      <c r="AF24" s="1">
        <v>1.01</v>
      </c>
      <c r="AG24" s="1">
        <v>4.54</v>
      </c>
      <c r="AH24" s="1">
        <v>4.51</v>
      </c>
      <c r="AI24" s="1">
        <v>2.81</v>
      </c>
      <c r="AJ24" s="1">
        <v>4</v>
      </c>
      <c r="AK24" s="1">
        <v>58</v>
      </c>
      <c r="AL24" s="1">
        <v>62</v>
      </c>
      <c r="AM24" s="1">
        <v>35</v>
      </c>
      <c r="AN24" s="1">
        <v>15</v>
      </c>
      <c r="AO24" s="1">
        <v>41</v>
      </c>
      <c r="AP24" s="1">
        <v>43.5</v>
      </c>
      <c r="AQ24" s="1" t="s">
        <v>66</v>
      </c>
      <c r="AR24" s="1" t="s">
        <v>67</v>
      </c>
      <c r="AS24" s="1" t="s">
        <v>57</v>
      </c>
      <c r="AT24" s="1" t="s">
        <v>68</v>
      </c>
      <c r="AU24" s="1" t="s">
        <v>57</v>
      </c>
    </row>
    <row r="25" spans="1:47">
      <c r="A25" s="1">
        <v>16</v>
      </c>
      <c r="B25" s="1" t="s">
        <v>111</v>
      </c>
      <c r="C25" s="1" t="s">
        <v>123</v>
      </c>
      <c r="D25" s="6">
        <v>0.34</v>
      </c>
      <c r="E25" s="1" t="s">
        <v>49</v>
      </c>
      <c r="F25" s="1" t="s">
        <v>71</v>
      </c>
      <c r="G25" s="1" t="s">
        <v>51</v>
      </c>
      <c r="H25" s="1" t="s">
        <v>52</v>
      </c>
      <c r="I25" s="1" t="s">
        <v>52</v>
      </c>
      <c r="J25" s="1" t="s">
        <v>52</v>
      </c>
      <c r="K25" s="1" t="s">
        <v>53</v>
      </c>
      <c r="L25" s="8" t="str">
        <f>HYPERLINK("https://www.sheetal.co/Details/StoneDetails/?stoneno=RS19751","YES")</f>
        <v>YES</v>
      </c>
      <c r="M25" s="8" t="str">
        <f>HYPERLINK("https://www.sheetal.co/Details/StoneDetails/?stoneno=RS19751","YES")</f>
        <v>YES</v>
      </c>
      <c r="N25" s="8" t="str">
        <f>HYPERLINK("https://www.sheetal.co/certificate/2517196095.pdf","2517196095")</f>
        <v>2517196095</v>
      </c>
      <c r="O25" s="6">
        <v>1700</v>
      </c>
      <c r="P25" s="6">
        <v>-45.42</v>
      </c>
      <c r="Q25" s="9">
        <v>927.86</v>
      </c>
      <c r="R25" s="6">
        <v>315.47</v>
      </c>
      <c r="S25" s="1" t="s">
        <v>58</v>
      </c>
      <c r="T25" s="1" t="s">
        <v>55</v>
      </c>
      <c r="U25" s="1" t="s">
        <v>56</v>
      </c>
      <c r="V25" s="1" t="s">
        <v>57</v>
      </c>
      <c r="W25" s="1" t="s">
        <v>58</v>
      </c>
      <c r="X25" s="1" t="s">
        <v>73</v>
      </c>
      <c r="Y25" s="1" t="s">
        <v>80</v>
      </c>
      <c r="Z25" s="1" t="s">
        <v>74</v>
      </c>
      <c r="AA25" s="1" t="s">
        <v>87</v>
      </c>
      <c r="AB25" s="1" t="s">
        <v>93</v>
      </c>
      <c r="AC25" s="1" t="s">
        <v>63</v>
      </c>
      <c r="AD25" s="1" t="s">
        <v>82</v>
      </c>
      <c r="AE25" s="1" t="s">
        <v>118</v>
      </c>
      <c r="AF25" s="1">
        <v>1.01</v>
      </c>
      <c r="AG25" s="1">
        <v>4.51</v>
      </c>
      <c r="AH25" s="1">
        <v>4.48</v>
      </c>
      <c r="AI25" s="1">
        <v>2.76</v>
      </c>
      <c r="AJ25" s="1">
        <v>3.5</v>
      </c>
      <c r="AK25" s="1">
        <v>59</v>
      </c>
      <c r="AL25" s="1">
        <v>61.5</v>
      </c>
      <c r="AM25" s="1">
        <v>35</v>
      </c>
      <c r="AN25" s="1">
        <v>14.5</v>
      </c>
      <c r="AO25" s="1">
        <v>41.2</v>
      </c>
      <c r="AP25" s="1">
        <v>43.5</v>
      </c>
      <c r="AQ25" s="1" t="s">
        <v>66</v>
      </c>
      <c r="AR25" s="1" t="s">
        <v>67</v>
      </c>
      <c r="AS25" s="1" t="s">
        <v>57</v>
      </c>
      <c r="AT25" s="1" t="s">
        <v>68</v>
      </c>
      <c r="AU25" s="1" t="s">
        <v>110</v>
      </c>
    </row>
    <row r="26" spans="1:47">
      <c r="A26" s="1">
        <v>17</v>
      </c>
      <c r="B26" s="1" t="s">
        <v>111</v>
      </c>
      <c r="C26" s="1" t="s">
        <v>124</v>
      </c>
      <c r="D26" s="6">
        <v>0.34</v>
      </c>
      <c r="E26" s="1" t="s">
        <v>49</v>
      </c>
      <c r="F26" s="1" t="s">
        <v>71</v>
      </c>
      <c r="G26" s="1" t="s">
        <v>51</v>
      </c>
      <c r="H26" s="1" t="s">
        <v>52</v>
      </c>
      <c r="I26" s="1" t="s">
        <v>52</v>
      </c>
      <c r="J26" s="1" t="s">
        <v>52</v>
      </c>
      <c r="K26" s="1" t="s">
        <v>53</v>
      </c>
      <c r="L26" s="8" t="str">
        <f>HYPERLINK("https://www.sheetal.co/Details/StoneDetails/?stoneno=RS15077","YES")</f>
        <v>YES</v>
      </c>
      <c r="M26" s="8" t="str">
        <f>HYPERLINK("https://www.sheetal.co/Details/StoneDetails/?stoneno=RS15077","YES")</f>
        <v>YES</v>
      </c>
      <c r="N26" s="8" t="str">
        <f>HYPERLINK("https://www.sheetal.co/certificate/2508846994.pdf","2508846994")</f>
        <v>2508846994</v>
      </c>
      <c r="O26" s="6">
        <v>1700</v>
      </c>
      <c r="P26" s="6">
        <v>-47.74</v>
      </c>
      <c r="Q26" s="9">
        <v>888.42</v>
      </c>
      <c r="R26" s="6">
        <v>302.06</v>
      </c>
      <c r="S26" s="1" t="s">
        <v>58</v>
      </c>
      <c r="T26" s="1" t="s">
        <v>55</v>
      </c>
      <c r="U26" s="1" t="s">
        <v>56</v>
      </c>
      <c r="V26" s="1" t="s">
        <v>57</v>
      </c>
      <c r="W26" s="1" t="s">
        <v>58</v>
      </c>
      <c r="X26" s="1" t="s">
        <v>73</v>
      </c>
      <c r="Y26" s="1" t="s">
        <v>59</v>
      </c>
      <c r="Z26" s="1" t="s">
        <v>74</v>
      </c>
      <c r="AA26" s="1" t="s">
        <v>61</v>
      </c>
      <c r="AB26" s="1" t="s">
        <v>62</v>
      </c>
      <c r="AC26" s="1" t="s">
        <v>63</v>
      </c>
      <c r="AD26" s="1" t="s">
        <v>61</v>
      </c>
      <c r="AE26" s="1" t="s">
        <v>83</v>
      </c>
      <c r="AF26" s="1">
        <v>1</v>
      </c>
      <c r="AG26" s="1">
        <v>4.51</v>
      </c>
      <c r="AH26" s="1">
        <v>4.49</v>
      </c>
      <c r="AI26" s="1">
        <v>2.77</v>
      </c>
      <c r="AJ26" s="1">
        <v>4</v>
      </c>
      <c r="AK26" s="1">
        <v>59</v>
      </c>
      <c r="AL26" s="1">
        <v>61.4</v>
      </c>
      <c r="AM26" s="1">
        <v>33</v>
      </c>
      <c r="AN26" s="1">
        <v>13.5</v>
      </c>
      <c r="AO26" s="1">
        <v>41.4</v>
      </c>
      <c r="AP26" s="1">
        <v>44</v>
      </c>
      <c r="AQ26" s="1" t="s">
        <v>66</v>
      </c>
      <c r="AR26" s="1" t="s">
        <v>67</v>
      </c>
      <c r="AS26" s="1" t="s">
        <v>57</v>
      </c>
      <c r="AT26" s="1" t="s">
        <v>68</v>
      </c>
      <c r="AU26" s="1" t="s">
        <v>57</v>
      </c>
    </row>
    <row r="27" spans="1:47">
      <c r="A27" s="1">
        <v>18</v>
      </c>
      <c r="B27" s="1" t="s">
        <v>111</v>
      </c>
      <c r="C27" s="1" t="s">
        <v>125</v>
      </c>
      <c r="D27" s="6">
        <v>0.34</v>
      </c>
      <c r="E27" s="1" t="s">
        <v>49</v>
      </c>
      <c r="F27" s="1" t="s">
        <v>71</v>
      </c>
      <c r="G27" s="1" t="s">
        <v>51</v>
      </c>
      <c r="H27" s="1" t="s">
        <v>52</v>
      </c>
      <c r="I27" s="1" t="s">
        <v>52</v>
      </c>
      <c r="J27" s="1" t="s">
        <v>52</v>
      </c>
      <c r="K27" s="1" t="s">
        <v>53</v>
      </c>
      <c r="L27" s="8" t="str">
        <f>HYPERLINK("https://www.sheetal.co/Details/StoneDetails/?stoneno=RS15114","YES")</f>
        <v>YES</v>
      </c>
      <c r="M27" s="8" t="str">
        <f>HYPERLINK("https://www.sheetal.co/Details/StoneDetails/?stoneno=RS15114","YES")</f>
        <v>YES</v>
      </c>
      <c r="N27" s="8" t="str">
        <f>HYPERLINK("https://www.sheetal.co/certificate/7503847528.pdf","7503847528")</f>
        <v>7503847528</v>
      </c>
      <c r="O27" s="6">
        <v>1700</v>
      </c>
      <c r="P27" s="6">
        <v>-42.1</v>
      </c>
      <c r="Q27" s="9">
        <v>984.3</v>
      </c>
      <c r="R27" s="6">
        <v>334.66</v>
      </c>
      <c r="S27" s="1" t="s">
        <v>58</v>
      </c>
      <c r="T27" s="1" t="s">
        <v>55</v>
      </c>
      <c r="U27" s="1" t="s">
        <v>56</v>
      </c>
      <c r="V27" s="1" t="s">
        <v>57</v>
      </c>
      <c r="W27" s="1" t="s">
        <v>58</v>
      </c>
      <c r="X27" s="1" t="s">
        <v>73</v>
      </c>
      <c r="Y27" s="1" t="s">
        <v>59</v>
      </c>
      <c r="Z27" s="1" t="s">
        <v>74</v>
      </c>
      <c r="AA27" s="1" t="s">
        <v>81</v>
      </c>
      <c r="AB27" s="1" t="s">
        <v>62</v>
      </c>
      <c r="AC27" s="1" t="s">
        <v>63</v>
      </c>
      <c r="AD27" s="1" t="s">
        <v>82</v>
      </c>
      <c r="AE27" s="1" t="s">
        <v>126</v>
      </c>
      <c r="AF27" s="1">
        <v>1</v>
      </c>
      <c r="AG27" s="1">
        <v>4.51</v>
      </c>
      <c r="AH27" s="1">
        <v>4.5</v>
      </c>
      <c r="AI27" s="1">
        <v>2.78</v>
      </c>
      <c r="AJ27" s="1">
        <v>4</v>
      </c>
      <c r="AK27" s="1">
        <v>58</v>
      </c>
      <c r="AL27" s="1">
        <v>61.7</v>
      </c>
      <c r="AM27" s="1">
        <v>33.5</v>
      </c>
      <c r="AN27" s="1">
        <v>14</v>
      </c>
      <c r="AO27" s="1">
        <v>41.4</v>
      </c>
      <c r="AP27" s="1">
        <v>44</v>
      </c>
      <c r="AQ27" s="1" t="s">
        <v>102</v>
      </c>
      <c r="AR27" s="1" t="s">
        <v>67</v>
      </c>
      <c r="AS27" s="1" t="s">
        <v>57</v>
      </c>
      <c r="AT27" s="1" t="s">
        <v>68</v>
      </c>
      <c r="AU27" s="1" t="s">
        <v>57</v>
      </c>
    </row>
    <row r="28" spans="1:47">
      <c r="A28" s="1">
        <v>19</v>
      </c>
      <c r="B28" s="1" t="s">
        <v>111</v>
      </c>
      <c r="C28" s="1" t="s">
        <v>127</v>
      </c>
      <c r="D28" s="6">
        <v>0.33</v>
      </c>
      <c r="E28" s="1" t="s">
        <v>49</v>
      </c>
      <c r="F28" s="1" t="s">
        <v>71</v>
      </c>
      <c r="G28" s="1" t="s">
        <v>51</v>
      </c>
      <c r="H28" s="1" t="s">
        <v>52</v>
      </c>
      <c r="I28" s="1" t="s">
        <v>52</v>
      </c>
      <c r="J28" s="1" t="s">
        <v>52</v>
      </c>
      <c r="K28" s="1" t="s">
        <v>53</v>
      </c>
      <c r="L28" s="8" t="str">
        <f>HYPERLINK("https://www.sheetal.co/Details/StoneDetails/?stoneno=AM29248","YES")</f>
        <v>YES</v>
      </c>
      <c r="M28" s="8" t="str">
        <f>HYPERLINK("https://www.sheetal.co/Details/StoneDetails/?stoneno=AM29248","YES")</f>
        <v>YES</v>
      </c>
      <c r="N28" s="8" t="str">
        <f>HYPERLINK("https://www.sheetal.co/certificate/6512205498.pdf","6512205498")</f>
        <v>6512205498</v>
      </c>
      <c r="O28" s="6">
        <v>1700</v>
      </c>
      <c r="P28" s="6">
        <v>-48.2</v>
      </c>
      <c r="Q28" s="9">
        <v>880.6</v>
      </c>
      <c r="R28" s="6">
        <v>290.6</v>
      </c>
      <c r="S28" s="1" t="s">
        <v>54</v>
      </c>
      <c r="T28" s="1" t="s">
        <v>55</v>
      </c>
      <c r="U28" s="1" t="s">
        <v>56</v>
      </c>
      <c r="V28" s="1" t="s">
        <v>57</v>
      </c>
      <c r="W28" s="1" t="s">
        <v>58</v>
      </c>
      <c r="X28" s="1" t="s">
        <v>73</v>
      </c>
      <c r="Y28" s="1" t="s">
        <v>80</v>
      </c>
      <c r="Z28" s="1" t="s">
        <v>74</v>
      </c>
      <c r="AA28" s="1" t="s">
        <v>61</v>
      </c>
      <c r="AB28" s="1" t="s">
        <v>62</v>
      </c>
      <c r="AC28" s="1" t="s">
        <v>63</v>
      </c>
      <c r="AD28" s="1" t="s">
        <v>61</v>
      </c>
      <c r="AE28" s="1" t="s">
        <v>83</v>
      </c>
      <c r="AF28" s="1">
        <v>1.01</v>
      </c>
      <c r="AG28" s="1">
        <v>4.43</v>
      </c>
      <c r="AH28" s="1">
        <v>4.4</v>
      </c>
      <c r="AI28" s="1">
        <v>2.75</v>
      </c>
      <c r="AJ28" s="1">
        <v>3.5</v>
      </c>
      <c r="AK28" s="1">
        <v>56</v>
      </c>
      <c r="AL28" s="1">
        <v>62.2</v>
      </c>
      <c r="AM28" s="1">
        <v>35.5</v>
      </c>
      <c r="AN28" s="1">
        <v>15.5</v>
      </c>
      <c r="AO28" s="1">
        <v>40.8</v>
      </c>
      <c r="AP28" s="1">
        <v>43</v>
      </c>
      <c r="AQ28" s="1" t="s">
        <v>66</v>
      </c>
      <c r="AR28" s="1" t="s">
        <v>67</v>
      </c>
      <c r="AS28" s="1" t="s">
        <v>57</v>
      </c>
      <c r="AT28" s="1" t="s">
        <v>68</v>
      </c>
      <c r="AU28" s="1" t="s">
        <v>57</v>
      </c>
    </row>
    <row r="29" spans="1:47">
      <c r="A29" s="1">
        <v>20</v>
      </c>
      <c r="B29" s="1" t="s">
        <v>111</v>
      </c>
      <c r="C29" s="1" t="s">
        <v>128</v>
      </c>
      <c r="D29" s="6">
        <v>0.33</v>
      </c>
      <c r="E29" s="1" t="s">
        <v>49</v>
      </c>
      <c r="F29" s="1" t="s">
        <v>113</v>
      </c>
      <c r="G29" s="1" t="s">
        <v>86</v>
      </c>
      <c r="H29" s="1" t="s">
        <v>52</v>
      </c>
      <c r="I29" s="1" t="s">
        <v>52</v>
      </c>
      <c r="J29" s="1" t="s">
        <v>52</v>
      </c>
      <c r="K29" s="1" t="s">
        <v>53</v>
      </c>
      <c r="L29" s="8" t="str">
        <f>HYPERLINK("https://www.sheetal.co/Details/StoneDetails/?stoneno=AM30089","YES")</f>
        <v>YES</v>
      </c>
      <c r="M29" s="8" t="str">
        <f>HYPERLINK("https://www.sheetal.co/Details/StoneDetails/?stoneno=AM30089","YES")</f>
        <v>YES</v>
      </c>
      <c r="N29" s="8" t="str">
        <f>HYPERLINK("https://www.sheetal.co/certificate/6511331143.pdf","6511331143")</f>
        <v>6511331143</v>
      </c>
      <c r="O29" s="6">
        <v>1500</v>
      </c>
      <c r="P29" s="6">
        <v>-40.42</v>
      </c>
      <c r="Q29" s="9">
        <v>893.7</v>
      </c>
      <c r="R29" s="6">
        <v>294.92</v>
      </c>
      <c r="S29" s="1" t="s">
        <v>58</v>
      </c>
      <c r="T29" s="1" t="s">
        <v>55</v>
      </c>
      <c r="U29" s="1" t="s">
        <v>56</v>
      </c>
      <c r="V29" s="1" t="s">
        <v>57</v>
      </c>
      <c r="W29" s="1" t="s">
        <v>58</v>
      </c>
      <c r="X29" s="1" t="s">
        <v>73</v>
      </c>
      <c r="Y29" s="1" t="s">
        <v>80</v>
      </c>
      <c r="Z29" s="1" t="s">
        <v>74</v>
      </c>
      <c r="AA29" s="1" t="s">
        <v>81</v>
      </c>
      <c r="AB29" s="1" t="s">
        <v>93</v>
      </c>
      <c r="AC29" s="1" t="s">
        <v>88</v>
      </c>
      <c r="AD29" s="1" t="s">
        <v>82</v>
      </c>
      <c r="AE29" s="1" t="s">
        <v>114</v>
      </c>
      <c r="AF29" s="1">
        <v>1.01</v>
      </c>
      <c r="AG29" s="1">
        <v>4.44</v>
      </c>
      <c r="AH29" s="1">
        <v>4.41</v>
      </c>
      <c r="AI29" s="1">
        <v>2.75</v>
      </c>
      <c r="AJ29" s="1">
        <v>4</v>
      </c>
      <c r="AK29" s="1">
        <v>57</v>
      </c>
      <c r="AL29" s="1">
        <v>62.1</v>
      </c>
      <c r="AM29" s="1">
        <v>35</v>
      </c>
      <c r="AN29" s="1">
        <v>15</v>
      </c>
      <c r="AO29" s="1">
        <v>41</v>
      </c>
      <c r="AP29" s="1">
        <v>43</v>
      </c>
      <c r="AQ29" s="1" t="s">
        <v>66</v>
      </c>
      <c r="AR29" s="1" t="s">
        <v>67</v>
      </c>
      <c r="AS29" s="1" t="s">
        <v>57</v>
      </c>
      <c r="AT29" s="1" t="s">
        <v>68</v>
      </c>
      <c r="AU29" s="1" t="s">
        <v>57</v>
      </c>
    </row>
    <row r="30" spans="1:47">
      <c r="A30" s="1">
        <v>21</v>
      </c>
      <c r="B30" s="1" t="s">
        <v>111</v>
      </c>
      <c r="C30" s="1" t="s">
        <v>129</v>
      </c>
      <c r="D30" s="6">
        <v>0.33</v>
      </c>
      <c r="E30" s="1" t="s">
        <v>49</v>
      </c>
      <c r="F30" s="1" t="s">
        <v>92</v>
      </c>
      <c r="G30" s="1" t="s">
        <v>86</v>
      </c>
      <c r="H30" s="1" t="s">
        <v>52</v>
      </c>
      <c r="I30" s="1" t="s">
        <v>52</v>
      </c>
      <c r="J30" s="1" t="s">
        <v>52</v>
      </c>
      <c r="K30" s="1" t="s">
        <v>53</v>
      </c>
      <c r="L30" s="8" t="str">
        <f>HYPERLINK("https://www.sheetal.co/Details/StoneDetails/?stoneno=AM29947","YES")</f>
        <v>YES</v>
      </c>
      <c r="M30" s="8" t="str">
        <f>HYPERLINK("https://www.sheetal.co/Details/StoneDetails/?stoneno=AM29947","YES")</f>
        <v>YES</v>
      </c>
      <c r="N30" s="8" t="str">
        <f>HYPERLINK("https://www.sheetal.co/certificate/2517331334.pdf","2517331334")</f>
        <v>2517331334</v>
      </c>
      <c r="O30" s="6">
        <v>1400</v>
      </c>
      <c r="P30" s="6">
        <v>-45.71</v>
      </c>
      <c r="Q30" s="9">
        <v>760.06</v>
      </c>
      <c r="R30" s="6">
        <v>250.82</v>
      </c>
      <c r="S30" s="1" t="s">
        <v>58</v>
      </c>
      <c r="T30" s="1" t="s">
        <v>55</v>
      </c>
      <c r="U30" s="1" t="s">
        <v>56</v>
      </c>
      <c r="V30" s="1" t="s">
        <v>57</v>
      </c>
      <c r="W30" s="1" t="s">
        <v>54</v>
      </c>
      <c r="X30" s="1" t="s">
        <v>73</v>
      </c>
      <c r="Y30" s="1" t="s">
        <v>59</v>
      </c>
      <c r="Z30" s="1" t="s">
        <v>74</v>
      </c>
      <c r="AA30" s="1" t="s">
        <v>87</v>
      </c>
      <c r="AB30" s="1" t="s">
        <v>93</v>
      </c>
      <c r="AC30" s="1" t="s">
        <v>88</v>
      </c>
      <c r="AD30" s="1" t="s">
        <v>82</v>
      </c>
      <c r="AE30" s="1" t="s">
        <v>130</v>
      </c>
      <c r="AF30" s="1">
        <v>1</v>
      </c>
      <c r="AG30" s="1">
        <v>4.41</v>
      </c>
      <c r="AH30" s="1">
        <v>4.4</v>
      </c>
      <c r="AI30" s="1">
        <v>2.76</v>
      </c>
      <c r="AJ30" s="1">
        <v>4</v>
      </c>
      <c r="AK30" s="1">
        <v>57</v>
      </c>
      <c r="AL30" s="1">
        <v>62.6</v>
      </c>
      <c r="AM30" s="1">
        <v>35</v>
      </c>
      <c r="AN30" s="1">
        <v>15.5</v>
      </c>
      <c r="AO30" s="1">
        <v>41</v>
      </c>
      <c r="AP30" s="1">
        <v>43.5</v>
      </c>
      <c r="AQ30" s="1" t="s">
        <v>102</v>
      </c>
      <c r="AR30" s="1" t="s">
        <v>67</v>
      </c>
      <c r="AS30" s="1" t="s">
        <v>57</v>
      </c>
      <c r="AT30" s="1" t="s">
        <v>68</v>
      </c>
      <c r="AU30" s="1" t="s">
        <v>57</v>
      </c>
    </row>
    <row r="31" spans="1:47">
      <c r="A31" s="1">
        <v>22</v>
      </c>
      <c r="B31" s="1" t="s">
        <v>111</v>
      </c>
      <c r="C31" s="1" t="s">
        <v>131</v>
      </c>
      <c r="D31" s="6">
        <v>0.32</v>
      </c>
      <c r="E31" s="1" t="s">
        <v>49</v>
      </c>
      <c r="F31" s="1" t="s">
        <v>71</v>
      </c>
      <c r="G31" s="1" t="s">
        <v>72</v>
      </c>
      <c r="H31" s="1" t="s">
        <v>52</v>
      </c>
      <c r="I31" s="1" t="s">
        <v>52</v>
      </c>
      <c r="J31" s="1" t="s">
        <v>52</v>
      </c>
      <c r="K31" s="1" t="s">
        <v>53</v>
      </c>
      <c r="L31" s="8" t="str">
        <f>HYPERLINK("https://www.sheetal.co/Details/StoneDetails/?stoneno=AM30990","YES")</f>
        <v>YES</v>
      </c>
      <c r="M31" s="8" t="str">
        <f>HYPERLINK("https://www.sheetal.co/Details/StoneDetails/?stoneno=AM30990","YES")</f>
        <v>YES</v>
      </c>
      <c r="N31" s="8" t="str">
        <f>HYPERLINK("https://www.sheetal.co/certificate/6511333138.pdf","6511333138")</f>
        <v>6511333138</v>
      </c>
      <c r="O31" s="6">
        <v>1800</v>
      </c>
      <c r="P31" s="6">
        <v>-41.48</v>
      </c>
      <c r="Q31" s="9">
        <v>1053.36</v>
      </c>
      <c r="R31" s="6">
        <v>337.07</v>
      </c>
      <c r="S31" s="1" t="s">
        <v>58</v>
      </c>
      <c r="T31" s="1" t="s">
        <v>55</v>
      </c>
      <c r="U31" s="1" t="s">
        <v>56</v>
      </c>
      <c r="V31" s="1" t="s">
        <v>57</v>
      </c>
      <c r="W31" s="1" t="s">
        <v>58</v>
      </c>
      <c r="X31" s="1" t="s">
        <v>73</v>
      </c>
      <c r="Y31" s="1" t="s">
        <v>80</v>
      </c>
      <c r="Z31" s="1" t="s">
        <v>74</v>
      </c>
      <c r="AA31" s="1" t="s">
        <v>61</v>
      </c>
      <c r="AB31" s="1" t="s">
        <v>62</v>
      </c>
      <c r="AC31" s="1" t="s">
        <v>63</v>
      </c>
      <c r="AD31" s="1" t="s">
        <v>61</v>
      </c>
      <c r="AE31" s="1" t="s">
        <v>132</v>
      </c>
      <c r="AF31" s="1">
        <v>1</v>
      </c>
      <c r="AG31" s="1">
        <v>4.39</v>
      </c>
      <c r="AH31" s="1">
        <v>4.38</v>
      </c>
      <c r="AI31" s="1">
        <v>2.73</v>
      </c>
      <c r="AJ31" s="1">
        <v>4</v>
      </c>
      <c r="AK31" s="1">
        <v>56</v>
      </c>
      <c r="AL31" s="1">
        <v>62.2</v>
      </c>
      <c r="AM31" s="1">
        <v>35</v>
      </c>
      <c r="AN31" s="1">
        <v>15.5</v>
      </c>
      <c r="AO31" s="1">
        <v>40.8</v>
      </c>
      <c r="AP31" s="1">
        <v>43</v>
      </c>
      <c r="AQ31" s="1" t="s">
        <v>66</v>
      </c>
      <c r="AR31" s="1" t="s">
        <v>67</v>
      </c>
      <c r="AS31" s="1" t="s">
        <v>57</v>
      </c>
      <c r="AT31" s="1" t="s">
        <v>68</v>
      </c>
      <c r="AU31" s="1" t="s">
        <v>110</v>
      </c>
    </row>
    <row r="32" spans="1:47">
      <c r="A32" s="1">
        <v>23</v>
      </c>
      <c r="B32" s="1" t="s">
        <v>111</v>
      </c>
      <c r="C32" s="1" t="s">
        <v>133</v>
      </c>
      <c r="D32" s="6">
        <v>0.32</v>
      </c>
      <c r="E32" s="1" t="s">
        <v>49</v>
      </c>
      <c r="F32" s="1" t="s">
        <v>71</v>
      </c>
      <c r="G32" s="1" t="s">
        <v>51</v>
      </c>
      <c r="H32" s="1" t="s">
        <v>52</v>
      </c>
      <c r="I32" s="1" t="s">
        <v>79</v>
      </c>
      <c r="J32" s="1" t="s">
        <v>52</v>
      </c>
      <c r="K32" s="1" t="s">
        <v>53</v>
      </c>
      <c r="L32" s="8" t="str">
        <f>HYPERLINK("https://www.sheetal.co/Details/StoneDetails/?stoneno=AM28550","YES")</f>
        <v>YES</v>
      </c>
      <c r="M32" s="8" t="str">
        <f>HYPERLINK("https://www.sheetal.co/Details/StoneDetails/?stoneno=AM28550","YES")</f>
        <v>YES</v>
      </c>
      <c r="N32" s="8" t="str">
        <f>HYPERLINK("https://www.sheetal.co/certificate/6512208006.pdf","6512208006")</f>
        <v>6512208006</v>
      </c>
      <c r="O32" s="6">
        <v>1700</v>
      </c>
      <c r="P32" s="6">
        <v>-50.27</v>
      </c>
      <c r="Q32" s="9">
        <v>845.41</v>
      </c>
      <c r="R32" s="6">
        <v>270.53</v>
      </c>
      <c r="S32" s="1" t="s">
        <v>54</v>
      </c>
      <c r="T32" s="1" t="s">
        <v>55</v>
      </c>
      <c r="U32" s="1" t="s">
        <v>56</v>
      </c>
      <c r="V32" s="1" t="s">
        <v>57</v>
      </c>
      <c r="W32" s="1" t="s">
        <v>58</v>
      </c>
      <c r="X32" s="1" t="s">
        <v>73</v>
      </c>
      <c r="Y32" s="1" t="s">
        <v>80</v>
      </c>
      <c r="Z32" s="1" t="s">
        <v>60</v>
      </c>
      <c r="AA32" s="1" t="s">
        <v>87</v>
      </c>
      <c r="AB32" s="1" t="s">
        <v>62</v>
      </c>
      <c r="AC32" s="1" t="s">
        <v>63</v>
      </c>
      <c r="AD32" s="1" t="s">
        <v>82</v>
      </c>
      <c r="AE32" s="1" t="s">
        <v>118</v>
      </c>
      <c r="AF32" s="1">
        <v>1</v>
      </c>
      <c r="AG32" s="1">
        <v>4.41</v>
      </c>
      <c r="AH32" s="1">
        <v>4.4</v>
      </c>
      <c r="AI32" s="1">
        <v>2.73</v>
      </c>
      <c r="AJ32" s="1">
        <v>4</v>
      </c>
      <c r="AK32" s="1">
        <v>56</v>
      </c>
      <c r="AL32" s="1">
        <v>62</v>
      </c>
      <c r="AM32" s="1">
        <v>34.5</v>
      </c>
      <c r="AN32" s="1">
        <v>15.5</v>
      </c>
      <c r="AO32" s="1">
        <v>40.8</v>
      </c>
      <c r="AP32" s="1">
        <v>43</v>
      </c>
      <c r="AQ32" s="1" t="s">
        <v>66</v>
      </c>
      <c r="AR32" s="1" t="s">
        <v>67</v>
      </c>
      <c r="AS32" s="1" t="s">
        <v>57</v>
      </c>
      <c r="AT32" s="1" t="s">
        <v>68</v>
      </c>
      <c r="AU32" s="1" t="s">
        <v>57</v>
      </c>
    </row>
    <row r="33" spans="1:47">
      <c r="A33" s="1">
        <v>24</v>
      </c>
      <c r="B33" s="1" t="s">
        <v>111</v>
      </c>
      <c r="C33" s="1" t="s">
        <v>134</v>
      </c>
      <c r="D33" s="6">
        <v>0.32</v>
      </c>
      <c r="E33" s="1" t="s">
        <v>49</v>
      </c>
      <c r="F33" s="1" t="s">
        <v>113</v>
      </c>
      <c r="G33" s="1" t="s">
        <v>51</v>
      </c>
      <c r="H33" s="1" t="s">
        <v>52</v>
      </c>
      <c r="I33" s="1" t="s">
        <v>52</v>
      </c>
      <c r="J33" s="1" t="s">
        <v>52</v>
      </c>
      <c r="K33" s="1" t="s">
        <v>53</v>
      </c>
      <c r="L33" s="8" t="str">
        <f>HYPERLINK("https://www.sheetal.co/Details/StoneDetails/?stoneno=FMS03681","YES")</f>
        <v>YES</v>
      </c>
      <c r="M33" s="8" t="str">
        <f>HYPERLINK("https://www.sheetal.co/Details/StoneDetails/?stoneno=FMS03681","YES")</f>
        <v>YES</v>
      </c>
      <c r="N33" s="8" t="str">
        <f>HYPERLINK("https://www.sheetal.co/certificate/2507767573.pdf","2507767573")</f>
        <v>2507767573</v>
      </c>
      <c r="O33" s="6">
        <v>1600</v>
      </c>
      <c r="P33" s="6">
        <v>-47.06</v>
      </c>
      <c r="Q33" s="9">
        <v>847.04</v>
      </c>
      <c r="R33" s="6">
        <v>271.05</v>
      </c>
      <c r="S33" s="1" t="s">
        <v>58</v>
      </c>
      <c r="T33" s="1" t="s">
        <v>55</v>
      </c>
      <c r="U33" s="1" t="s">
        <v>56</v>
      </c>
      <c r="V33" s="1" t="s">
        <v>57</v>
      </c>
      <c r="W33" s="1" t="s">
        <v>58</v>
      </c>
      <c r="X33" s="1" t="s">
        <v>73</v>
      </c>
      <c r="Y33" s="1" t="s">
        <v>80</v>
      </c>
      <c r="Z33" s="1" t="s">
        <v>74</v>
      </c>
      <c r="AA33" s="1" t="s">
        <v>87</v>
      </c>
      <c r="AB33" s="1" t="s">
        <v>62</v>
      </c>
      <c r="AC33" s="1" t="s">
        <v>63</v>
      </c>
      <c r="AD33" s="1" t="s">
        <v>82</v>
      </c>
      <c r="AE33" s="1" t="s">
        <v>116</v>
      </c>
      <c r="AF33" s="1">
        <v>1</v>
      </c>
      <c r="AG33" s="1">
        <v>4.38</v>
      </c>
      <c r="AH33" s="1">
        <v>4.36</v>
      </c>
      <c r="AI33" s="1">
        <v>2.72</v>
      </c>
      <c r="AJ33" s="1">
        <v>4</v>
      </c>
      <c r="AK33" s="1">
        <v>58</v>
      </c>
      <c r="AL33" s="1">
        <v>62.1</v>
      </c>
      <c r="AM33" s="1">
        <v>35.5</v>
      </c>
      <c r="AN33" s="1">
        <v>15</v>
      </c>
      <c r="AO33" s="1">
        <v>41</v>
      </c>
      <c r="AP33" s="1">
        <v>43.5</v>
      </c>
      <c r="AQ33" s="1" t="s">
        <v>102</v>
      </c>
      <c r="AR33" s="1" t="s">
        <v>67</v>
      </c>
      <c r="AS33" s="1" t="s">
        <v>57</v>
      </c>
      <c r="AT33" s="1" t="s">
        <v>68</v>
      </c>
      <c r="AU33" s="1" t="s">
        <v>57</v>
      </c>
    </row>
    <row r="34" spans="1:47">
      <c r="A34" s="1">
        <v>25</v>
      </c>
      <c r="B34" s="1" t="s">
        <v>111</v>
      </c>
      <c r="C34" s="1" t="s">
        <v>135</v>
      </c>
      <c r="D34" s="6">
        <v>0.32</v>
      </c>
      <c r="E34" s="1" t="s">
        <v>49</v>
      </c>
      <c r="F34" s="1" t="s">
        <v>113</v>
      </c>
      <c r="G34" s="1" t="s">
        <v>86</v>
      </c>
      <c r="H34" s="1" t="s">
        <v>52</v>
      </c>
      <c r="I34" s="1" t="s">
        <v>52</v>
      </c>
      <c r="J34" s="1" t="s">
        <v>52</v>
      </c>
      <c r="K34" s="1" t="s">
        <v>53</v>
      </c>
      <c r="L34" s="8" t="str">
        <f>HYPERLINK("https://www.sheetal.co/Details/StoneDetails/?stoneno=AM30319","YES")</f>
        <v>YES</v>
      </c>
      <c r="M34" s="8" t="str">
        <f>HYPERLINK("https://www.sheetal.co/Details/StoneDetails/?stoneno=AM30319","YES")</f>
        <v>YES</v>
      </c>
      <c r="N34" s="8" t="str">
        <f>HYPERLINK("https://www.sheetal.co/certificate/2518331544.pdf","2518331544")</f>
        <v>2518331544</v>
      </c>
      <c r="O34" s="6">
        <v>1500</v>
      </c>
      <c r="P34" s="6">
        <v>-39.78</v>
      </c>
      <c r="Q34" s="9">
        <v>903.3</v>
      </c>
      <c r="R34" s="6">
        <v>289.06</v>
      </c>
      <c r="S34" s="1" t="s">
        <v>58</v>
      </c>
      <c r="T34" s="1" t="s">
        <v>55</v>
      </c>
      <c r="U34" s="1" t="s">
        <v>56</v>
      </c>
      <c r="V34" s="1" t="s">
        <v>57</v>
      </c>
      <c r="W34" s="1" t="s">
        <v>58</v>
      </c>
      <c r="X34" s="1" t="s">
        <v>57</v>
      </c>
      <c r="Y34" s="1" t="s">
        <v>80</v>
      </c>
      <c r="Z34" s="1" t="s">
        <v>74</v>
      </c>
      <c r="AA34" s="1" t="s">
        <v>61</v>
      </c>
      <c r="AB34" s="1" t="s">
        <v>93</v>
      </c>
      <c r="AC34" s="1" t="s">
        <v>88</v>
      </c>
      <c r="AD34" s="1" t="s">
        <v>82</v>
      </c>
      <c r="AE34" s="1" t="s">
        <v>136</v>
      </c>
      <c r="AF34" s="1">
        <v>1</v>
      </c>
      <c r="AG34" s="1">
        <v>4.38</v>
      </c>
      <c r="AH34" s="1">
        <v>4.36</v>
      </c>
      <c r="AI34" s="1">
        <v>2.71</v>
      </c>
      <c r="AJ34" s="1">
        <v>4</v>
      </c>
      <c r="AK34" s="1">
        <v>58</v>
      </c>
      <c r="AL34" s="1">
        <v>62.1</v>
      </c>
      <c r="AM34" s="1">
        <v>35</v>
      </c>
      <c r="AN34" s="1">
        <v>14.5</v>
      </c>
      <c r="AO34" s="1">
        <v>41</v>
      </c>
      <c r="AP34" s="1">
        <v>43</v>
      </c>
      <c r="AQ34" s="1" t="s">
        <v>102</v>
      </c>
      <c r="AR34" s="1" t="s">
        <v>67</v>
      </c>
      <c r="AS34" s="1" t="s">
        <v>57</v>
      </c>
      <c r="AT34" s="1" t="s">
        <v>68</v>
      </c>
      <c r="AU34" s="1" t="s">
        <v>110</v>
      </c>
    </row>
    <row r="35" spans="1:47">
      <c r="A35" s="1">
        <v>26</v>
      </c>
      <c r="B35" s="1" t="s">
        <v>111</v>
      </c>
      <c r="C35" s="1" t="s">
        <v>137</v>
      </c>
      <c r="D35" s="6">
        <v>0.32</v>
      </c>
      <c r="E35" s="1" t="s">
        <v>49</v>
      </c>
      <c r="F35" s="1" t="s">
        <v>113</v>
      </c>
      <c r="G35" s="1" t="s">
        <v>86</v>
      </c>
      <c r="H35" s="1" t="s">
        <v>52</v>
      </c>
      <c r="I35" s="1" t="s">
        <v>79</v>
      </c>
      <c r="J35" s="1" t="s">
        <v>52</v>
      </c>
      <c r="K35" s="1" t="s">
        <v>53</v>
      </c>
      <c r="L35" s="8" t="str">
        <f>HYPERLINK("https://www.sheetal.co/Details/StoneDetails/?stoneno=AM26987","YES")</f>
        <v>YES</v>
      </c>
      <c r="M35" s="8" t="str">
        <f>HYPERLINK("https://www.sheetal.co/Details/StoneDetails/?stoneno=AM26987","YES")</f>
        <v>YES</v>
      </c>
      <c r="N35" s="8" t="str">
        <f>HYPERLINK("https://www.sheetal.co/certificate/5506859644.pdf","5506859644")</f>
        <v>5506859644</v>
      </c>
      <c r="O35" s="6">
        <v>1500</v>
      </c>
      <c r="P35" s="6">
        <v>-49.65</v>
      </c>
      <c r="Q35" s="9">
        <v>755.25</v>
      </c>
      <c r="R35" s="6">
        <v>241.68</v>
      </c>
      <c r="S35" s="1" t="s">
        <v>58</v>
      </c>
      <c r="T35" s="1" t="s">
        <v>55</v>
      </c>
      <c r="U35" s="1" t="s">
        <v>56</v>
      </c>
      <c r="V35" s="1" t="s">
        <v>57</v>
      </c>
      <c r="W35" s="1" t="s">
        <v>58</v>
      </c>
      <c r="X35" s="1" t="s">
        <v>73</v>
      </c>
      <c r="Y35" s="1" t="s">
        <v>80</v>
      </c>
      <c r="Z35" s="1" t="s">
        <v>74</v>
      </c>
      <c r="AA35" s="1" t="s">
        <v>61</v>
      </c>
      <c r="AB35" s="1" t="s">
        <v>62</v>
      </c>
      <c r="AC35" s="1" t="s">
        <v>88</v>
      </c>
      <c r="AD35" s="1" t="s">
        <v>64</v>
      </c>
      <c r="AE35" s="1" t="s">
        <v>101</v>
      </c>
      <c r="AF35" s="1">
        <v>1.01</v>
      </c>
      <c r="AG35" s="1">
        <v>4.37</v>
      </c>
      <c r="AH35" s="1">
        <v>4.34</v>
      </c>
      <c r="AI35" s="1">
        <v>2.73</v>
      </c>
      <c r="AJ35" s="1">
        <v>4</v>
      </c>
      <c r="AK35" s="1">
        <v>57</v>
      </c>
      <c r="AL35" s="1">
        <v>62.7</v>
      </c>
      <c r="AM35" s="1">
        <v>35</v>
      </c>
      <c r="AN35" s="1">
        <v>15</v>
      </c>
      <c r="AO35" s="1">
        <v>41.2</v>
      </c>
      <c r="AP35" s="1">
        <v>43.5</v>
      </c>
      <c r="AQ35" s="1" t="s">
        <v>66</v>
      </c>
      <c r="AR35" s="1" t="s">
        <v>67</v>
      </c>
      <c r="AS35" s="1" t="s">
        <v>57</v>
      </c>
      <c r="AT35" s="1" t="s">
        <v>68</v>
      </c>
      <c r="AU35" s="1" t="s">
        <v>57</v>
      </c>
    </row>
    <row r="36" spans="1:47">
      <c r="A36" s="1">
        <v>27</v>
      </c>
      <c r="B36" s="1" t="s">
        <v>111</v>
      </c>
      <c r="C36" s="1" t="s">
        <v>138</v>
      </c>
      <c r="D36" s="6">
        <v>0.31</v>
      </c>
      <c r="E36" s="1" t="s">
        <v>49</v>
      </c>
      <c r="F36" s="1" t="s">
        <v>71</v>
      </c>
      <c r="G36" s="1" t="s">
        <v>86</v>
      </c>
      <c r="H36" s="1" t="s">
        <v>52</v>
      </c>
      <c r="I36" s="1" t="s">
        <v>52</v>
      </c>
      <c r="J36" s="1" t="s">
        <v>52</v>
      </c>
      <c r="K36" s="1" t="s">
        <v>53</v>
      </c>
      <c r="L36" s="8" t="str">
        <f>HYPERLINK("https://www.sheetal.co/Details/StoneDetails/?stoneno=RS20451","YES")</f>
        <v>YES</v>
      </c>
      <c r="M36" s="8" t="str">
        <f>HYPERLINK("https://www.sheetal.co/Details/StoneDetails/?stoneno=RS20451","YES")</f>
        <v>YES</v>
      </c>
      <c r="N36" s="8" t="str">
        <f>HYPERLINK("https://www.sheetal.co/certificate/2516195592.pdf","2516195592")</f>
        <v>2516195592</v>
      </c>
      <c r="O36" s="6">
        <v>1600</v>
      </c>
      <c r="P36" s="6">
        <v>-42.8</v>
      </c>
      <c r="Q36" s="9">
        <v>915.2</v>
      </c>
      <c r="R36" s="6">
        <v>283.71</v>
      </c>
      <c r="S36" s="1" t="s">
        <v>58</v>
      </c>
      <c r="T36" s="1" t="s">
        <v>55</v>
      </c>
      <c r="U36" s="1" t="s">
        <v>56</v>
      </c>
      <c r="V36" s="1" t="s">
        <v>57</v>
      </c>
      <c r="W36" s="1" t="s">
        <v>58</v>
      </c>
      <c r="X36" s="1" t="s">
        <v>73</v>
      </c>
      <c r="Y36" s="1" t="s">
        <v>80</v>
      </c>
      <c r="Z36" s="1" t="s">
        <v>74</v>
      </c>
      <c r="AA36" s="1" t="s">
        <v>61</v>
      </c>
      <c r="AB36" s="1" t="s">
        <v>93</v>
      </c>
      <c r="AC36" s="1" t="s">
        <v>88</v>
      </c>
      <c r="AD36" s="1" t="s">
        <v>82</v>
      </c>
      <c r="AE36" s="1" t="s">
        <v>114</v>
      </c>
      <c r="AF36" s="1">
        <v>1.01</v>
      </c>
      <c r="AG36" s="1">
        <v>4.39</v>
      </c>
      <c r="AH36" s="1">
        <v>4.36</v>
      </c>
      <c r="AI36" s="1">
        <v>2.72</v>
      </c>
      <c r="AJ36" s="1">
        <v>3.5</v>
      </c>
      <c r="AK36" s="1">
        <v>56</v>
      </c>
      <c r="AL36" s="1">
        <v>62.1</v>
      </c>
      <c r="AM36" s="1">
        <v>33</v>
      </c>
      <c r="AN36" s="1">
        <v>14.5</v>
      </c>
      <c r="AO36" s="1">
        <v>41.4</v>
      </c>
      <c r="AP36" s="1">
        <v>44</v>
      </c>
      <c r="AQ36" s="1" t="s">
        <v>66</v>
      </c>
      <c r="AR36" s="1" t="s">
        <v>67</v>
      </c>
      <c r="AS36" s="1" t="s">
        <v>57</v>
      </c>
      <c r="AT36" s="1" t="s">
        <v>68</v>
      </c>
      <c r="AU36" s="1" t="s">
        <v>110</v>
      </c>
    </row>
    <row r="37" spans="1:47">
      <c r="A37" s="1">
        <v>28</v>
      </c>
      <c r="B37" s="1" t="s">
        <v>111</v>
      </c>
      <c r="C37" s="1" t="s">
        <v>139</v>
      </c>
      <c r="D37" s="6">
        <v>0.31</v>
      </c>
      <c r="E37" s="1" t="s">
        <v>49</v>
      </c>
      <c r="F37" s="1" t="s">
        <v>71</v>
      </c>
      <c r="G37" s="1" t="s">
        <v>86</v>
      </c>
      <c r="H37" s="1" t="s">
        <v>52</v>
      </c>
      <c r="I37" s="1" t="s">
        <v>52</v>
      </c>
      <c r="J37" s="1" t="s">
        <v>52</v>
      </c>
      <c r="K37" s="1" t="s">
        <v>53</v>
      </c>
      <c r="L37" s="8" t="str">
        <f>HYPERLINK("https://www.sheetal.co/Details/StoneDetails/?stoneno=FMAM356150","YES")</f>
        <v>YES</v>
      </c>
      <c r="M37" s="8" t="str">
        <f>HYPERLINK("https://www.sheetal.co/Details/StoneDetails/?stoneno=FMAM356150","YES")</f>
        <v>YES</v>
      </c>
      <c r="N37" s="8" t="str">
        <f>HYPERLINK("https://www.sheetal.co/certificate/2504115383.pdf","2504115383")</f>
        <v>2504115383</v>
      </c>
      <c r="O37" s="6">
        <v>1600</v>
      </c>
      <c r="P37" s="6">
        <v>-48.1</v>
      </c>
      <c r="Q37" s="9">
        <v>830.4</v>
      </c>
      <c r="R37" s="6">
        <v>257.42</v>
      </c>
      <c r="S37" s="1" t="s">
        <v>58</v>
      </c>
      <c r="T37" s="1" t="s">
        <v>55</v>
      </c>
      <c r="U37" s="1" t="s">
        <v>56</v>
      </c>
      <c r="V37" s="1" t="s">
        <v>57</v>
      </c>
      <c r="W37" s="1" t="s">
        <v>58</v>
      </c>
      <c r="X37" s="1" t="s">
        <v>57</v>
      </c>
      <c r="Y37" s="1" t="s">
        <v>80</v>
      </c>
      <c r="Z37" s="1" t="s">
        <v>74</v>
      </c>
      <c r="AA37" s="1" t="s">
        <v>61</v>
      </c>
      <c r="AB37" s="1" t="s">
        <v>93</v>
      </c>
      <c r="AC37" s="1" t="s">
        <v>88</v>
      </c>
      <c r="AD37" s="1" t="s">
        <v>82</v>
      </c>
      <c r="AE37" s="1" t="s">
        <v>118</v>
      </c>
      <c r="AF37" s="1">
        <v>1</v>
      </c>
      <c r="AG37" s="1">
        <v>4.35</v>
      </c>
      <c r="AH37" s="1">
        <v>4.33</v>
      </c>
      <c r="AI37" s="1">
        <v>2.68</v>
      </c>
      <c r="AJ37" s="1">
        <v>3.5</v>
      </c>
      <c r="AK37" s="1">
        <v>59</v>
      </c>
      <c r="AL37" s="1">
        <v>61.8</v>
      </c>
      <c r="AM37" s="1">
        <v>35</v>
      </c>
      <c r="AN37" s="1">
        <v>14.5</v>
      </c>
      <c r="AO37" s="1">
        <v>41.2</v>
      </c>
      <c r="AP37" s="1">
        <v>44</v>
      </c>
      <c r="AQ37" s="1" t="s">
        <v>66</v>
      </c>
      <c r="AR37" s="1" t="s">
        <v>67</v>
      </c>
      <c r="AS37" s="1" t="s">
        <v>57</v>
      </c>
      <c r="AT37" s="1" t="s">
        <v>68</v>
      </c>
      <c r="AU37" s="1" t="s">
        <v>57</v>
      </c>
    </row>
    <row r="38" spans="1:47">
      <c r="A38" s="1">
        <v>29</v>
      </c>
      <c r="B38" s="1" t="s">
        <v>111</v>
      </c>
      <c r="C38" s="1" t="s">
        <v>140</v>
      </c>
      <c r="D38" s="6">
        <v>0.31</v>
      </c>
      <c r="E38" s="1" t="s">
        <v>49</v>
      </c>
      <c r="F38" s="1" t="s">
        <v>113</v>
      </c>
      <c r="G38" s="1" t="s">
        <v>86</v>
      </c>
      <c r="H38" s="1" t="s">
        <v>52</v>
      </c>
      <c r="I38" s="1" t="s">
        <v>79</v>
      </c>
      <c r="J38" s="1" t="s">
        <v>52</v>
      </c>
      <c r="K38" s="1" t="s">
        <v>53</v>
      </c>
      <c r="L38" s="8" t="str">
        <f>HYPERLINK("https://www.sheetal.co/Details/StoneDetails/?stoneno=R243008","YES")</f>
        <v>YES</v>
      </c>
      <c r="M38" s="8" t="str">
        <f>HYPERLINK("https://www.sheetal.co/Details/StoneDetails/?stoneno=R243008","YES")</f>
        <v>YES</v>
      </c>
      <c r="N38" s="8" t="str">
        <f>HYPERLINK("https://www.sheetal.co/certificate/6492714446.pdf","6492714446")</f>
        <v>6492714446</v>
      </c>
      <c r="O38" s="6">
        <v>1500</v>
      </c>
      <c r="P38" s="6">
        <v>-50.73</v>
      </c>
      <c r="Q38" s="9">
        <v>739.05</v>
      </c>
      <c r="R38" s="6">
        <v>229.1</v>
      </c>
      <c r="S38" s="1" t="s">
        <v>58</v>
      </c>
      <c r="T38" s="1" t="s">
        <v>55</v>
      </c>
      <c r="U38" s="1" t="s">
        <v>56</v>
      </c>
      <c r="V38" s="1" t="s">
        <v>57</v>
      </c>
      <c r="W38" s="1" t="s">
        <v>58</v>
      </c>
      <c r="X38" s="1" t="s">
        <v>57</v>
      </c>
      <c r="Y38" s="1" t="s">
        <v>80</v>
      </c>
      <c r="Z38" s="1" t="s">
        <v>74</v>
      </c>
      <c r="AA38" s="1" t="s">
        <v>87</v>
      </c>
      <c r="AB38" s="1" t="s">
        <v>93</v>
      </c>
      <c r="AC38" s="1" t="s">
        <v>63</v>
      </c>
      <c r="AD38" s="1" t="s">
        <v>82</v>
      </c>
      <c r="AE38" s="1" t="s">
        <v>114</v>
      </c>
      <c r="AF38" s="1">
        <v>1</v>
      </c>
      <c r="AG38" s="1">
        <v>4.32</v>
      </c>
      <c r="AH38" s="1">
        <v>4.3</v>
      </c>
      <c r="AI38" s="1">
        <v>2.69</v>
      </c>
      <c r="AJ38" s="1">
        <v>4</v>
      </c>
      <c r="AK38" s="1">
        <v>58</v>
      </c>
      <c r="AL38" s="1">
        <v>62.5</v>
      </c>
      <c r="AM38" s="1">
        <v>35</v>
      </c>
      <c r="AN38" s="1">
        <v>14.5</v>
      </c>
      <c r="AO38" s="1">
        <v>41.2</v>
      </c>
      <c r="AP38" s="1">
        <v>43.5</v>
      </c>
      <c r="AQ38" s="1" t="s">
        <v>66</v>
      </c>
      <c r="AR38" s="1" t="s">
        <v>67</v>
      </c>
      <c r="AS38" s="1" t="s">
        <v>57</v>
      </c>
      <c r="AT38" s="1" t="s">
        <v>68</v>
      </c>
      <c r="AU38" s="1" t="s">
        <v>57</v>
      </c>
    </row>
    <row r="39" spans="1:47">
      <c r="A39" s="1">
        <v>30</v>
      </c>
      <c r="B39" s="1" t="s">
        <v>111</v>
      </c>
      <c r="C39" s="1" t="s">
        <v>141</v>
      </c>
      <c r="D39" s="6">
        <v>0.31</v>
      </c>
      <c r="E39" s="1" t="s">
        <v>49</v>
      </c>
      <c r="F39" s="1" t="s">
        <v>113</v>
      </c>
      <c r="G39" s="1" t="s">
        <v>86</v>
      </c>
      <c r="H39" s="1" t="s">
        <v>52</v>
      </c>
      <c r="I39" s="1" t="s">
        <v>52</v>
      </c>
      <c r="J39" s="1" t="s">
        <v>52</v>
      </c>
      <c r="K39" s="1" t="s">
        <v>53</v>
      </c>
      <c r="L39" s="8" t="str">
        <f>HYPERLINK("https://www.sheetal.co/Details/StoneDetails/?stoneno=AM30263","YES")</f>
        <v>YES</v>
      </c>
      <c r="M39" s="8" t="str">
        <f>HYPERLINK("https://www.sheetal.co/Details/StoneDetails/?stoneno=AM30263","YES")</f>
        <v>YES</v>
      </c>
      <c r="N39" s="8" t="str">
        <f>HYPERLINK("https://www.sheetal.co/certificate/6512336299.pdf","6512336299")</f>
        <v>6512336299</v>
      </c>
      <c r="O39" s="6">
        <v>1500</v>
      </c>
      <c r="P39" s="6">
        <v>-39.78</v>
      </c>
      <c r="Q39" s="9">
        <v>903.3</v>
      </c>
      <c r="R39" s="6">
        <v>280.02</v>
      </c>
      <c r="S39" s="1" t="s">
        <v>58</v>
      </c>
      <c r="T39" s="1" t="s">
        <v>55</v>
      </c>
      <c r="U39" s="1" t="s">
        <v>56</v>
      </c>
      <c r="V39" s="1" t="s">
        <v>57</v>
      </c>
      <c r="W39" s="1" t="s">
        <v>58</v>
      </c>
      <c r="X39" s="1" t="s">
        <v>73</v>
      </c>
      <c r="Y39" s="1" t="s">
        <v>80</v>
      </c>
      <c r="Z39" s="1" t="s">
        <v>74</v>
      </c>
      <c r="AA39" s="1" t="s">
        <v>87</v>
      </c>
      <c r="AB39" s="1" t="s">
        <v>62</v>
      </c>
      <c r="AC39" s="1" t="s">
        <v>63</v>
      </c>
      <c r="AD39" s="1" t="s">
        <v>64</v>
      </c>
      <c r="AE39" s="1" t="s">
        <v>142</v>
      </c>
      <c r="AF39" s="1">
        <v>1.01</v>
      </c>
      <c r="AG39" s="1">
        <v>4.34</v>
      </c>
      <c r="AH39" s="1">
        <v>4.31</v>
      </c>
      <c r="AI39" s="1">
        <v>2.7</v>
      </c>
      <c r="AJ39" s="1">
        <v>4</v>
      </c>
      <c r="AK39" s="1">
        <v>57</v>
      </c>
      <c r="AL39" s="1">
        <v>62.4</v>
      </c>
      <c r="AM39" s="1">
        <v>35</v>
      </c>
      <c r="AN39" s="1">
        <v>15</v>
      </c>
      <c r="AO39" s="1">
        <v>41</v>
      </c>
      <c r="AP39" s="1">
        <v>43.5</v>
      </c>
      <c r="AQ39" s="1" t="s">
        <v>66</v>
      </c>
      <c r="AR39" s="1" t="s">
        <v>67</v>
      </c>
      <c r="AS39" s="1" t="s">
        <v>57</v>
      </c>
      <c r="AT39" s="1" t="s">
        <v>68</v>
      </c>
      <c r="AU39" s="1" t="s">
        <v>57</v>
      </c>
    </row>
    <row r="40" spans="1:47">
      <c r="A40" s="1">
        <v>31</v>
      </c>
      <c r="B40" s="1" t="s">
        <v>111</v>
      </c>
      <c r="C40" s="1" t="s">
        <v>143</v>
      </c>
      <c r="D40" s="6">
        <v>0.3</v>
      </c>
      <c r="E40" s="1" t="s">
        <v>49</v>
      </c>
      <c r="F40" s="1" t="s">
        <v>71</v>
      </c>
      <c r="G40" s="1" t="s">
        <v>86</v>
      </c>
      <c r="H40" s="1" t="s">
        <v>52</v>
      </c>
      <c r="I40" s="1" t="s">
        <v>52</v>
      </c>
      <c r="J40" s="1" t="s">
        <v>52</v>
      </c>
      <c r="K40" s="1" t="s">
        <v>53</v>
      </c>
      <c r="L40" s="8" t="str">
        <f>HYPERLINK("https://www.sheetal.co/Details/StoneDetails/?stoneno=AM29815","YES")</f>
        <v>YES</v>
      </c>
      <c r="M40" s="8" t="str">
        <f>HYPERLINK("https://www.sheetal.co/Details/StoneDetails/?stoneno=AM29815","YES")</f>
        <v>YES</v>
      </c>
      <c r="N40" s="8" t="str">
        <f>HYPERLINK("https://www.sheetal.co/certificate/3515332540.pdf","3515332540")</f>
        <v>3515332540</v>
      </c>
      <c r="O40" s="6">
        <v>1600</v>
      </c>
      <c r="P40" s="6">
        <v>-46.12</v>
      </c>
      <c r="Q40" s="9">
        <v>862.08</v>
      </c>
      <c r="R40" s="6">
        <v>258.62</v>
      </c>
      <c r="S40" s="1" t="s">
        <v>58</v>
      </c>
      <c r="T40" s="1" t="s">
        <v>55</v>
      </c>
      <c r="U40" s="1" t="s">
        <v>56</v>
      </c>
      <c r="V40" s="1" t="s">
        <v>57</v>
      </c>
      <c r="W40" s="1" t="s">
        <v>58</v>
      </c>
      <c r="X40" s="1" t="s">
        <v>73</v>
      </c>
      <c r="Y40" s="1" t="s">
        <v>59</v>
      </c>
      <c r="Z40" s="1" t="s">
        <v>60</v>
      </c>
      <c r="AA40" s="1" t="s">
        <v>87</v>
      </c>
      <c r="AB40" s="1" t="s">
        <v>93</v>
      </c>
      <c r="AC40" s="1" t="s">
        <v>63</v>
      </c>
      <c r="AD40" s="1" t="s">
        <v>64</v>
      </c>
      <c r="AE40" s="1" t="s">
        <v>83</v>
      </c>
      <c r="AF40" s="1">
        <v>1.01</v>
      </c>
      <c r="AG40" s="1">
        <v>4.31</v>
      </c>
      <c r="AH40" s="1">
        <v>4.28</v>
      </c>
      <c r="AI40" s="1">
        <v>2.69</v>
      </c>
      <c r="AJ40" s="1">
        <v>4</v>
      </c>
      <c r="AK40" s="1">
        <v>56</v>
      </c>
      <c r="AL40" s="1">
        <v>62.5</v>
      </c>
      <c r="AM40" s="1">
        <v>35</v>
      </c>
      <c r="AN40" s="1">
        <v>15.5</v>
      </c>
      <c r="AO40" s="1">
        <v>41</v>
      </c>
      <c r="AP40" s="1">
        <v>43.5</v>
      </c>
      <c r="AQ40" s="1" t="s">
        <v>102</v>
      </c>
      <c r="AR40" s="1" t="s">
        <v>67</v>
      </c>
      <c r="AS40" s="1" t="s">
        <v>57</v>
      </c>
      <c r="AT40" s="1" t="s">
        <v>68</v>
      </c>
      <c r="AU40" s="1" t="s">
        <v>57</v>
      </c>
    </row>
    <row r="41" spans="1:47">
      <c r="A41" s="1">
        <v>32</v>
      </c>
      <c r="B41" s="1" t="s">
        <v>111</v>
      </c>
      <c r="C41" s="1" t="s">
        <v>144</v>
      </c>
      <c r="D41" s="6">
        <v>0.3</v>
      </c>
      <c r="E41" s="1" t="s">
        <v>49</v>
      </c>
      <c r="F41" s="1" t="s">
        <v>113</v>
      </c>
      <c r="G41" s="1" t="s">
        <v>86</v>
      </c>
      <c r="H41" s="1" t="s">
        <v>52</v>
      </c>
      <c r="I41" s="1" t="s">
        <v>52</v>
      </c>
      <c r="J41" s="1" t="s">
        <v>52</v>
      </c>
      <c r="K41" s="1" t="s">
        <v>53</v>
      </c>
      <c r="L41" s="8" t="str">
        <f>HYPERLINK("https://www.sheetal.co/Details/StoneDetails/?stoneno=AM23703","YES")</f>
        <v>YES</v>
      </c>
      <c r="M41" s="8" t="str">
        <f>HYPERLINK("https://www.sheetal.co/Details/StoneDetails/?stoneno=AM23703","YES")</f>
        <v>YES</v>
      </c>
      <c r="N41" s="8" t="str">
        <f>HYPERLINK("https://www.sheetal.co/certificate/1508767516.pdf","1508767516")</f>
        <v>1508767516</v>
      </c>
      <c r="O41" s="6">
        <v>1500</v>
      </c>
      <c r="P41" s="6">
        <v>-48.46</v>
      </c>
      <c r="Q41" s="9">
        <v>773.1</v>
      </c>
      <c r="R41" s="6">
        <v>231.93</v>
      </c>
      <c r="S41" s="1" t="s">
        <v>58</v>
      </c>
      <c r="T41" s="1" t="s">
        <v>55</v>
      </c>
      <c r="U41" s="1" t="s">
        <v>56</v>
      </c>
      <c r="V41" s="1" t="s">
        <v>57</v>
      </c>
      <c r="W41" s="1" t="s">
        <v>54</v>
      </c>
      <c r="X41" s="1" t="s">
        <v>73</v>
      </c>
      <c r="Y41" s="1" t="s">
        <v>80</v>
      </c>
      <c r="Z41" s="1" t="s">
        <v>74</v>
      </c>
      <c r="AA41" s="1" t="s">
        <v>61</v>
      </c>
      <c r="AB41" s="1" t="s">
        <v>93</v>
      </c>
      <c r="AC41" s="1" t="s">
        <v>88</v>
      </c>
      <c r="AD41" s="1" t="s">
        <v>82</v>
      </c>
      <c r="AE41" s="1" t="s">
        <v>94</v>
      </c>
      <c r="AF41" s="1">
        <v>1</v>
      </c>
      <c r="AG41" s="1">
        <v>4.27</v>
      </c>
      <c r="AH41" s="1">
        <v>4.25</v>
      </c>
      <c r="AI41" s="1">
        <v>2.66</v>
      </c>
      <c r="AJ41" s="1">
        <v>4</v>
      </c>
      <c r="AK41" s="1">
        <v>56</v>
      </c>
      <c r="AL41" s="1">
        <v>62.4</v>
      </c>
      <c r="AM41" s="1">
        <v>35.5</v>
      </c>
      <c r="AN41" s="1">
        <v>15.5</v>
      </c>
      <c r="AO41" s="1">
        <v>40.6</v>
      </c>
      <c r="AP41" s="1">
        <v>42.5</v>
      </c>
      <c r="AQ41" s="1" t="s">
        <v>66</v>
      </c>
      <c r="AR41" s="1" t="s">
        <v>67</v>
      </c>
      <c r="AS41" s="1" t="s">
        <v>57</v>
      </c>
      <c r="AT41" s="1" t="s">
        <v>68</v>
      </c>
      <c r="AU41" s="1" t="s">
        <v>57</v>
      </c>
    </row>
    <row r="42" spans="1:47">
      <c r="A42" s="1">
        <v>33</v>
      </c>
      <c r="B42" s="1" t="s">
        <v>111</v>
      </c>
      <c r="C42" s="1" t="s">
        <v>145</v>
      </c>
      <c r="D42" s="6">
        <v>0.3</v>
      </c>
      <c r="E42" s="1" t="s">
        <v>49</v>
      </c>
      <c r="F42" s="1" t="s">
        <v>92</v>
      </c>
      <c r="G42" s="1" t="s">
        <v>86</v>
      </c>
      <c r="H42" s="1" t="s">
        <v>52</v>
      </c>
      <c r="I42" s="1" t="s">
        <v>52</v>
      </c>
      <c r="J42" s="1" t="s">
        <v>52</v>
      </c>
      <c r="K42" s="1" t="s">
        <v>53</v>
      </c>
      <c r="L42" s="8" t="str">
        <f>HYPERLINK("https://www.sheetal.co/Details/StoneDetails/?stoneno=AM27617","YES")</f>
        <v>YES</v>
      </c>
      <c r="M42" s="8" t="str">
        <f>HYPERLINK("https://www.sheetal.co/Details/StoneDetails/?stoneno=AM27617","YES")</f>
        <v>YES</v>
      </c>
      <c r="N42" s="8" t="str">
        <f>HYPERLINK("https://www.sheetal.co/certificate/1503854993.pdf","1503854993")</f>
        <v>1503854993</v>
      </c>
      <c r="O42" s="6">
        <v>1400</v>
      </c>
      <c r="P42" s="6">
        <v>-46.42</v>
      </c>
      <c r="Q42" s="9">
        <v>750.12</v>
      </c>
      <c r="R42" s="6">
        <v>225.04</v>
      </c>
      <c r="S42" s="1" t="s">
        <v>54</v>
      </c>
      <c r="T42" s="1" t="s">
        <v>55</v>
      </c>
      <c r="U42" s="1" t="s">
        <v>56</v>
      </c>
      <c r="V42" s="1" t="s">
        <v>57</v>
      </c>
      <c r="W42" s="1" t="s">
        <v>58</v>
      </c>
      <c r="X42" s="1" t="s">
        <v>73</v>
      </c>
      <c r="Y42" s="1" t="s">
        <v>80</v>
      </c>
      <c r="Z42" s="1" t="s">
        <v>74</v>
      </c>
      <c r="AA42" s="1" t="s">
        <v>81</v>
      </c>
      <c r="AB42" s="1" t="s">
        <v>93</v>
      </c>
      <c r="AC42" s="1" t="s">
        <v>63</v>
      </c>
      <c r="AD42" s="1" t="s">
        <v>82</v>
      </c>
      <c r="AE42" s="1" t="s">
        <v>118</v>
      </c>
      <c r="AF42" s="1">
        <v>1.01</v>
      </c>
      <c r="AG42" s="1">
        <v>4.36</v>
      </c>
      <c r="AH42" s="1">
        <v>4.33</v>
      </c>
      <c r="AI42" s="1">
        <v>2.64</v>
      </c>
      <c r="AJ42" s="1">
        <v>3.5</v>
      </c>
      <c r="AK42" s="1">
        <v>59</v>
      </c>
      <c r="AL42" s="1">
        <v>60.7</v>
      </c>
      <c r="AM42" s="1">
        <v>33.5</v>
      </c>
      <c r="AN42" s="1">
        <v>13.5</v>
      </c>
      <c r="AO42" s="1">
        <v>41.2</v>
      </c>
      <c r="AP42" s="1">
        <v>43.5</v>
      </c>
      <c r="AQ42" s="1" t="s">
        <v>66</v>
      </c>
      <c r="AR42" s="1" t="s">
        <v>67</v>
      </c>
      <c r="AS42" s="1" t="s">
        <v>57</v>
      </c>
      <c r="AT42" s="1" t="s">
        <v>68</v>
      </c>
      <c r="AU42" s="1" t="s">
        <v>57</v>
      </c>
    </row>
    <row r="43" ht="14.55" spans="1:47">
      <c r="A43" s="1">
        <v>34</v>
      </c>
      <c r="B43" s="1" t="s">
        <v>111</v>
      </c>
      <c r="C43" s="1" t="s">
        <v>146</v>
      </c>
      <c r="D43" s="6">
        <v>0.3</v>
      </c>
      <c r="E43" s="1" t="s">
        <v>49</v>
      </c>
      <c r="F43" s="1" t="s">
        <v>108</v>
      </c>
      <c r="G43" s="1" t="s">
        <v>51</v>
      </c>
      <c r="H43" s="1" t="s">
        <v>52</v>
      </c>
      <c r="I43" s="1" t="s">
        <v>52</v>
      </c>
      <c r="J43" s="1" t="s">
        <v>79</v>
      </c>
      <c r="K43" s="1" t="s">
        <v>53</v>
      </c>
      <c r="L43" s="8" t="str">
        <f>HYPERLINK("https://www.sheetal.co/Details/StoneDetails/?stoneno=FM771504","YES")</f>
        <v>YES</v>
      </c>
      <c r="M43" s="8" t="str">
        <f>HYPERLINK("https://www.sheetal.co/Details/StoneDetails/?stoneno=FM771504","YES")</f>
        <v>YES</v>
      </c>
      <c r="N43" s="8" t="str">
        <f>HYPERLINK("https://www.sheetal.co/certificate/6515003028.pdf","6515003028")</f>
        <v>6515003028</v>
      </c>
      <c r="O43" s="6">
        <v>1200</v>
      </c>
      <c r="P43" s="6">
        <v>-47.1</v>
      </c>
      <c r="Q43" s="9">
        <v>634.8</v>
      </c>
      <c r="R43" s="6">
        <v>190.44</v>
      </c>
      <c r="S43" s="1" t="s">
        <v>58</v>
      </c>
      <c r="T43" s="1" t="s">
        <v>55</v>
      </c>
      <c r="U43" s="1" t="s">
        <v>56</v>
      </c>
      <c r="V43" s="1" t="s">
        <v>57</v>
      </c>
      <c r="W43" s="1" t="s">
        <v>58</v>
      </c>
      <c r="X43" s="1" t="s">
        <v>73</v>
      </c>
      <c r="Y43" s="1" t="s">
        <v>80</v>
      </c>
      <c r="Z43" s="1" t="s">
        <v>74</v>
      </c>
      <c r="AA43" s="1" t="s">
        <v>81</v>
      </c>
      <c r="AB43" s="1" t="s">
        <v>62</v>
      </c>
      <c r="AC43" s="1" t="s">
        <v>63</v>
      </c>
      <c r="AD43" s="1" t="s">
        <v>82</v>
      </c>
      <c r="AE43" s="1" t="s">
        <v>147</v>
      </c>
      <c r="AF43" s="1">
        <v>1.01</v>
      </c>
      <c r="AG43" s="1">
        <v>4.28</v>
      </c>
      <c r="AH43" s="1">
        <v>4.24</v>
      </c>
      <c r="AI43" s="1">
        <v>2.63</v>
      </c>
      <c r="AJ43" s="1">
        <v>4</v>
      </c>
      <c r="AK43" s="1">
        <v>58</v>
      </c>
      <c r="AL43" s="1">
        <v>61.8</v>
      </c>
      <c r="AM43" s="1">
        <v>35</v>
      </c>
      <c r="AN43" s="1">
        <v>15</v>
      </c>
      <c r="AO43" s="1">
        <v>40.6</v>
      </c>
      <c r="AP43" s="1">
        <v>43</v>
      </c>
      <c r="AQ43" s="1" t="s">
        <v>66</v>
      </c>
      <c r="AR43" s="1" t="s">
        <v>67</v>
      </c>
      <c r="AS43" s="1" t="s">
        <v>57</v>
      </c>
      <c r="AT43" s="1" t="s">
        <v>68</v>
      </c>
      <c r="AU43" s="1" t="s">
        <v>57</v>
      </c>
    </row>
    <row r="44" ht="14.55" spans="1:47">
      <c r="A44" s="5">
        <f>SUBTOTAL(3,A10:A43)</f>
        <v>34</v>
      </c>
      <c r="B44" s="7"/>
      <c r="C44" s="7"/>
      <c r="D44" s="7">
        <f>SUBTOTAL(9,D10:D43)</f>
        <v>12.86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>
        <f ca="1">ROUND(SUMPRODUCT(SUBTOTAL(9,OFFSET(O10:O43,ROW(O10:O43)-MIN(ROW(O10:O43)),,1,1)),D10:D43)/SUBTOTAL(9,D10:D43),2)</f>
        <v>1625.27</v>
      </c>
      <c r="P44" s="7">
        <f ca="1">ROUND(IF(O8&lt;&gt;0,ROUND((O8-Q8)/O8*-100,2),0),2)</f>
        <v>-45.48</v>
      </c>
      <c r="Q44" s="7">
        <f>ROUND(SUBTOTAL(9,R10:R43)/SUBTOTAL(9,D10:D43),2)</f>
        <v>886.02</v>
      </c>
      <c r="R44" s="7">
        <f>SUBTOTAL(9,R10:R43)</f>
        <v>11394.17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</sheetData>
  <autoFilter xmlns:etc="http://www.wps.cn/officeDocument/2017/etCustomData" ref="A9:AU43" etc:filterBottomFollowUsedRange="0">
    <extLst/>
  </autoFilter>
  <mergeCells count="7">
    <mergeCell ref="D3:M3"/>
    <mergeCell ref="D4:M4"/>
    <mergeCell ref="D5:M5"/>
    <mergeCell ref="D6:M6"/>
    <mergeCell ref="D7:M7"/>
    <mergeCell ref="B2:B6"/>
    <mergeCell ref="O2:P6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14"/>
  <sheetViews>
    <sheetView topLeftCell="V1" workbookViewId="0">
      <pane ySplit="9" topLeftCell="A10" activePane="bottomLeft" state="frozen"/>
      <selection/>
      <selection pane="bottomLeft" activeCell="A10" sqref="A10:AU13"/>
    </sheetView>
  </sheetViews>
  <sheetFormatPr defaultColWidth="9.11111111111111" defaultRowHeight="13.8"/>
  <cols>
    <col min="1" max="1" width="9.11111111111111" style="1" customWidth="1"/>
    <col min="2" max="2" width="14.6666666666667" style="1" customWidth="1"/>
    <col min="3" max="3" width="10.6666666666667" style="1" customWidth="1"/>
    <col min="4" max="9" width="9.11111111111111" style="1" customWidth="1"/>
    <col min="10" max="10" width="11.8888888888889" style="1" customWidth="1"/>
    <col min="11" max="13" width="9.11111111111111" style="1" customWidth="1"/>
    <col min="14" max="14" width="12" style="1" customWidth="1"/>
    <col min="15" max="16" width="9.11111111111111" style="1" customWidth="1"/>
    <col min="17" max="17" width="11.5555555555556" style="1" customWidth="1"/>
    <col min="18" max="18" width="12" style="1" customWidth="1"/>
    <col min="19" max="19" width="14.2222222222222" style="1" customWidth="1"/>
    <col min="20" max="20" width="10.5555555555556" style="1" customWidth="1"/>
    <col min="21" max="23" width="9.11111111111111" style="1" customWidth="1"/>
    <col min="24" max="24" width="11" style="1" customWidth="1"/>
    <col min="25" max="30" width="9.11111111111111" style="1" customWidth="1"/>
    <col min="31" max="31" width="31.8888888888889" style="1" customWidth="1"/>
    <col min="32" max="35" width="9.11111111111111" style="1" customWidth="1"/>
    <col min="36" max="36" width="10" style="1" customWidth="1"/>
    <col min="37" max="37" width="9.44444444444444" style="1" customWidth="1"/>
    <col min="38" max="38" width="10" style="1" customWidth="1"/>
    <col min="39" max="39" width="9.55555555555556" style="1" customWidth="1"/>
    <col min="40" max="40" width="9.11111111111111" style="1" customWidth="1"/>
    <col min="41" max="41" width="9.66666666666667" style="1" customWidth="1"/>
    <col min="42" max="43" width="9.11111111111111" style="1" customWidth="1"/>
    <col min="44" max="44" width="11.6666666666667" style="1" customWidth="1"/>
    <col min="45" max="45" width="12.5555555555556" style="1" customWidth="1"/>
    <col min="46" max="46" width="10" style="1" customWidth="1"/>
    <col min="47" max="47" width="12.6666666666667" style="1" customWidth="1"/>
    <col min="48" max="48" width="9.11111111111111" style="1" customWidth="1"/>
    <col min="49" max="16384" width="9.11111111111111" style="1"/>
  </cols>
  <sheetData>
    <row r="3" ht="23.4" spans="4:4">
      <c r="D3" s="2" t="s">
        <v>159</v>
      </c>
    </row>
    <row r="4" spans="4:4">
      <c r="D4" s="3" t="s">
        <v>160</v>
      </c>
    </row>
    <row r="5" spans="4:4">
      <c r="D5" s="3" t="s">
        <v>161</v>
      </c>
    </row>
    <row r="6" spans="4:4">
      <c r="D6" s="3" t="s">
        <v>162</v>
      </c>
    </row>
    <row r="8" ht="14.55" spans="1:47">
      <c r="A8" s="3">
        <f>SUBTOTAL(3,A10:A13)</f>
        <v>4</v>
      </c>
      <c r="B8" s="4"/>
      <c r="C8" s="4"/>
      <c r="D8" s="4">
        <f>SUBTOTAL(9,D10:D13)</f>
        <v>2.61</v>
      </c>
      <c r="E8" s="4"/>
      <c r="F8" s="4"/>
      <c r="G8" s="4"/>
      <c r="H8" s="4"/>
      <c r="I8" s="4"/>
      <c r="J8" s="4"/>
      <c r="K8" s="4"/>
      <c r="L8" s="4"/>
      <c r="M8" s="4"/>
      <c r="N8" s="4"/>
      <c r="O8" s="4">
        <f ca="1">ROUND(SUMPRODUCT(SUBTOTAL(9,OFFSET(O10:O13,ROW(O10:O13)-MIN(ROW(O10:O13)),,1,1)),D10:D13)/SUBTOTAL(9,D10:D13),2)</f>
        <v>2693.49</v>
      </c>
      <c r="P8" s="4">
        <f ca="1">ROUND(IF(O8&lt;&gt;0,ROUND((O8-Q8)/O8*-100,2),0),2)</f>
        <v>-51.7</v>
      </c>
      <c r="Q8" s="4">
        <f>ROUND(SUBTOTAL(9,R10:R13)/SUBTOTAL(9,D10:D13),2)</f>
        <v>1300.93</v>
      </c>
      <c r="R8" s="4">
        <f>SUBTOTAL(9,R10:R13)</f>
        <v>3395.42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ht="14.55" spans="1:47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15</v>
      </c>
      <c r="Q9" s="5" t="s">
        <v>16</v>
      </c>
      <c r="R9" s="5" t="s">
        <v>17</v>
      </c>
      <c r="S9" s="5" t="s">
        <v>18</v>
      </c>
      <c r="T9" s="5" t="s">
        <v>19</v>
      </c>
      <c r="U9" s="5" t="s">
        <v>20</v>
      </c>
      <c r="V9" s="5" t="s">
        <v>21</v>
      </c>
      <c r="W9" s="5" t="s">
        <v>22</v>
      </c>
      <c r="X9" s="5" t="s">
        <v>23</v>
      </c>
      <c r="Y9" s="5" t="s">
        <v>24</v>
      </c>
      <c r="Z9" s="5" t="s">
        <v>25</v>
      </c>
      <c r="AA9" s="5" t="s">
        <v>26</v>
      </c>
      <c r="AB9" s="5" t="s">
        <v>27</v>
      </c>
      <c r="AC9" s="5" t="s">
        <v>28</v>
      </c>
      <c r="AD9" s="5" t="s">
        <v>29</v>
      </c>
      <c r="AE9" s="5" t="s">
        <v>30</v>
      </c>
      <c r="AF9" s="5" t="s">
        <v>31</v>
      </c>
      <c r="AG9" s="5" t="s">
        <v>32</v>
      </c>
      <c r="AH9" s="5" t="s">
        <v>33</v>
      </c>
      <c r="AI9" s="5" t="s">
        <v>34</v>
      </c>
      <c r="AJ9" s="5" t="s">
        <v>35</v>
      </c>
      <c r="AK9" s="5" t="s">
        <v>36</v>
      </c>
      <c r="AL9" s="5" t="s">
        <v>37</v>
      </c>
      <c r="AM9" s="5" t="s">
        <v>38</v>
      </c>
      <c r="AN9" s="5" t="s">
        <v>39</v>
      </c>
      <c r="AO9" s="5" t="s">
        <v>40</v>
      </c>
      <c r="AP9" s="5" t="s">
        <v>41</v>
      </c>
      <c r="AQ9" s="5" t="s">
        <v>42</v>
      </c>
      <c r="AR9" s="5" t="s">
        <v>43</v>
      </c>
      <c r="AS9" s="5" t="s">
        <v>44</v>
      </c>
      <c r="AT9" s="5" t="s">
        <v>45</v>
      </c>
      <c r="AU9" s="5" t="s">
        <v>46</v>
      </c>
    </row>
    <row r="10" spans="1:47">
      <c r="A10" s="1">
        <v>1</v>
      </c>
      <c r="B10" s="1" t="s">
        <v>103</v>
      </c>
      <c r="C10" s="1" t="s">
        <v>148</v>
      </c>
      <c r="D10" s="6">
        <v>0.4</v>
      </c>
      <c r="E10" s="1" t="s">
        <v>149</v>
      </c>
      <c r="F10" s="1" t="s">
        <v>71</v>
      </c>
      <c r="G10" s="1" t="s">
        <v>72</v>
      </c>
      <c r="H10" s="1" t="s">
        <v>68</v>
      </c>
      <c r="I10" s="1" t="s">
        <v>79</v>
      </c>
      <c r="J10" s="1" t="s">
        <v>79</v>
      </c>
      <c r="K10" s="1" t="s">
        <v>53</v>
      </c>
      <c r="L10" s="8" t="str">
        <f>HYPERLINK("https://www.sheetal.co/Details/StoneDetails/?stoneno=RFS02195","YES")</f>
        <v>YES</v>
      </c>
      <c r="M10" s="8" t="str">
        <f>HYPERLINK("https://www.sheetal.co/Details/StoneDetails/?stoneno=RFS02195","YES")</f>
        <v>YES</v>
      </c>
      <c r="N10" s="8" t="str">
        <f>HYPERLINK("https://www.sheetal.co/certificate/6505756096.pdf","6505756096")</f>
        <v>6505756096</v>
      </c>
      <c r="O10" s="6">
        <v>2000</v>
      </c>
      <c r="P10" s="6">
        <v>-39.34</v>
      </c>
      <c r="Q10" s="9">
        <v>1213.2</v>
      </c>
      <c r="R10" s="6">
        <v>485.28</v>
      </c>
      <c r="S10" s="1" t="s">
        <v>58</v>
      </c>
      <c r="T10" s="1" t="s">
        <v>55</v>
      </c>
      <c r="U10" s="1" t="s">
        <v>56</v>
      </c>
      <c r="V10" s="1" t="s">
        <v>57</v>
      </c>
      <c r="W10" s="1" t="s">
        <v>58</v>
      </c>
      <c r="X10" s="1" t="s">
        <v>73</v>
      </c>
      <c r="Y10" s="1" t="s">
        <v>80</v>
      </c>
      <c r="Z10" s="1" t="s">
        <v>74</v>
      </c>
      <c r="AA10" s="1" t="s">
        <v>61</v>
      </c>
      <c r="AB10" s="1" t="s">
        <v>61</v>
      </c>
      <c r="AC10" s="1" t="s">
        <v>63</v>
      </c>
      <c r="AD10" s="1" t="s">
        <v>61</v>
      </c>
      <c r="AE10" s="1" t="s">
        <v>126</v>
      </c>
      <c r="AF10" s="1">
        <v>1.4</v>
      </c>
      <c r="AG10" s="1">
        <v>5.8</v>
      </c>
      <c r="AH10" s="1">
        <v>4.14</v>
      </c>
      <c r="AI10" s="1">
        <v>2.62</v>
      </c>
      <c r="AJ10" s="1">
        <v>4</v>
      </c>
      <c r="AK10" s="1">
        <v>61</v>
      </c>
      <c r="AL10" s="1">
        <v>63.3</v>
      </c>
      <c r="AM10" s="1">
        <v>36.11</v>
      </c>
      <c r="AN10" s="1">
        <v>14.23</v>
      </c>
      <c r="AO10" s="1">
        <v>40.85</v>
      </c>
      <c r="AP10" s="1">
        <v>44.73</v>
      </c>
      <c r="AQ10" s="1" t="s">
        <v>110</v>
      </c>
      <c r="AR10" s="1" t="s">
        <v>67</v>
      </c>
      <c r="AS10" s="1" t="s">
        <v>57</v>
      </c>
      <c r="AT10" s="1" t="s">
        <v>68</v>
      </c>
      <c r="AU10" s="1" t="s">
        <v>57</v>
      </c>
    </row>
    <row r="11" spans="1:47">
      <c r="A11" s="1">
        <v>2</v>
      </c>
      <c r="B11" s="1" t="s">
        <v>90</v>
      </c>
      <c r="C11" s="1" t="s">
        <v>150</v>
      </c>
      <c r="D11" s="6">
        <v>0.5</v>
      </c>
      <c r="E11" s="1" t="s">
        <v>151</v>
      </c>
      <c r="F11" s="1" t="s">
        <v>92</v>
      </c>
      <c r="G11" s="1" t="s">
        <v>51</v>
      </c>
      <c r="H11" s="1" t="s">
        <v>68</v>
      </c>
      <c r="I11" s="1" t="s">
        <v>79</v>
      </c>
      <c r="J11" s="1" t="s">
        <v>52</v>
      </c>
      <c r="K11" s="1" t="s">
        <v>53</v>
      </c>
      <c r="L11" s="8" t="str">
        <f>HYPERLINK("https://www.sheetal.co/Details/StoneDetails/?stoneno=RFS06532","YES")</f>
        <v>YES</v>
      </c>
      <c r="M11" s="8" t="str">
        <f>HYPERLINK("https://www.sheetal.co/Details/StoneDetails/?stoneno=RFS06532","YES")</f>
        <v>YES</v>
      </c>
      <c r="N11" s="8" t="str">
        <f>HYPERLINK("https://www.sheetal.co/certificate/2516337566.pdf","2516337566")</f>
        <v>2516337566</v>
      </c>
      <c r="O11" s="6">
        <v>2000</v>
      </c>
      <c r="P11" s="6">
        <v>-43.63</v>
      </c>
      <c r="Q11" s="9">
        <v>1127.4</v>
      </c>
      <c r="R11" s="6">
        <v>563.7</v>
      </c>
      <c r="S11" s="1" t="s">
        <v>58</v>
      </c>
      <c r="T11" s="1" t="s">
        <v>55</v>
      </c>
      <c r="U11" s="1" t="s">
        <v>56</v>
      </c>
      <c r="V11" s="1" t="s">
        <v>57</v>
      </c>
      <c r="W11" s="1" t="s">
        <v>58</v>
      </c>
      <c r="X11" s="1" t="s">
        <v>73</v>
      </c>
      <c r="Y11" s="1" t="s">
        <v>80</v>
      </c>
      <c r="Z11" s="1" t="s">
        <v>74</v>
      </c>
      <c r="AA11" s="1" t="s">
        <v>87</v>
      </c>
      <c r="AB11" s="1" t="s">
        <v>62</v>
      </c>
      <c r="AC11" s="1" t="s">
        <v>63</v>
      </c>
      <c r="AD11" s="1" t="s">
        <v>82</v>
      </c>
      <c r="AE11" s="1" t="s">
        <v>114</v>
      </c>
      <c r="AF11" s="1">
        <v>1.6</v>
      </c>
      <c r="AG11" s="1">
        <v>6.94</v>
      </c>
      <c r="AH11" s="1">
        <v>4.35</v>
      </c>
      <c r="AI11" s="1">
        <v>2.74</v>
      </c>
      <c r="AJ11" s="1">
        <v>5</v>
      </c>
      <c r="AK11" s="1">
        <v>60</v>
      </c>
      <c r="AL11" s="1">
        <v>63.1</v>
      </c>
      <c r="AM11" s="1">
        <v>36.84</v>
      </c>
      <c r="AN11" s="1">
        <v>14.67</v>
      </c>
      <c r="AO11" s="1">
        <v>39.97</v>
      </c>
      <c r="AP11" s="1">
        <v>43.3</v>
      </c>
      <c r="AQ11" s="1" t="s">
        <v>110</v>
      </c>
      <c r="AR11" s="1" t="s">
        <v>67</v>
      </c>
      <c r="AS11" s="1" t="s">
        <v>57</v>
      </c>
      <c r="AT11" s="1" t="s">
        <v>68</v>
      </c>
      <c r="AU11" s="1" t="s">
        <v>57</v>
      </c>
    </row>
    <row r="12" spans="1:47">
      <c r="A12" s="1">
        <v>3</v>
      </c>
      <c r="B12" s="1" t="s">
        <v>152</v>
      </c>
      <c r="C12" s="1" t="s">
        <v>153</v>
      </c>
      <c r="D12" s="6">
        <v>1</v>
      </c>
      <c r="E12" s="1" t="s">
        <v>154</v>
      </c>
      <c r="F12" s="1" t="s">
        <v>155</v>
      </c>
      <c r="G12" s="1" t="s">
        <v>86</v>
      </c>
      <c r="H12" s="1" t="s">
        <v>68</v>
      </c>
      <c r="I12" s="1" t="s">
        <v>79</v>
      </c>
      <c r="J12" s="1" t="s">
        <v>52</v>
      </c>
      <c r="K12" s="1" t="s">
        <v>53</v>
      </c>
      <c r="L12" s="8" t="str">
        <f>HYPERLINK("https://www.sheetal.co/Details/StoneDetails/?stoneno=RFS01147","YES")</f>
        <v>YES</v>
      </c>
      <c r="M12" s="8" t="str">
        <f>HYPERLINK("https://www.sheetal.co/Details/StoneDetails/?stoneno=RFS01147","YES")</f>
        <v>YES</v>
      </c>
      <c r="N12" s="8" t="str">
        <f>HYPERLINK("https://www.sheetal.co/certificate/1505480988.pdf","1505480988")</f>
        <v>1505480988</v>
      </c>
      <c r="O12" s="6">
        <v>3100</v>
      </c>
      <c r="P12" s="6">
        <v>-62.03</v>
      </c>
      <c r="Q12" s="9">
        <v>1177.07</v>
      </c>
      <c r="R12" s="6">
        <v>1177.07</v>
      </c>
      <c r="S12" s="1" t="s">
        <v>54</v>
      </c>
      <c r="T12" s="1" t="s">
        <v>55</v>
      </c>
      <c r="U12" s="1" t="s">
        <v>56</v>
      </c>
      <c r="V12" s="1" t="s">
        <v>57</v>
      </c>
      <c r="W12" s="1" t="s">
        <v>58</v>
      </c>
      <c r="X12" s="1" t="s">
        <v>73</v>
      </c>
      <c r="Y12" s="1" t="s">
        <v>80</v>
      </c>
      <c r="Z12" s="1" t="s">
        <v>60</v>
      </c>
      <c r="AA12" s="1" t="s">
        <v>87</v>
      </c>
      <c r="AB12" s="1" t="s">
        <v>93</v>
      </c>
      <c r="AC12" s="1" t="s">
        <v>63</v>
      </c>
      <c r="AD12" s="1" t="s">
        <v>82</v>
      </c>
      <c r="AE12" s="1" t="s">
        <v>156</v>
      </c>
      <c r="AF12" s="1">
        <v>0.84</v>
      </c>
      <c r="AG12" s="1">
        <v>6.94</v>
      </c>
      <c r="AH12" s="1">
        <v>5.83</v>
      </c>
      <c r="AI12" s="1">
        <v>4.14</v>
      </c>
      <c r="AJ12" s="1">
        <v>0</v>
      </c>
      <c r="AK12" s="1">
        <v>65</v>
      </c>
      <c r="AL12" s="1">
        <v>59.7</v>
      </c>
      <c r="AM12" s="1">
        <v>47.01</v>
      </c>
      <c r="AN12" s="1">
        <v>14.52</v>
      </c>
      <c r="AO12" s="1">
        <v>43.26</v>
      </c>
      <c r="AP12" s="1">
        <v>40.99</v>
      </c>
      <c r="AQ12" s="1" t="s">
        <v>110</v>
      </c>
      <c r="AR12" s="1" t="s">
        <v>67</v>
      </c>
      <c r="AS12" s="1" t="s">
        <v>57</v>
      </c>
      <c r="AT12" s="1" t="s">
        <v>68</v>
      </c>
      <c r="AU12" s="1" t="s">
        <v>57</v>
      </c>
    </row>
    <row r="13" ht="14.55" spans="1:47">
      <c r="A13" s="1">
        <v>4</v>
      </c>
      <c r="B13" s="1" t="s">
        <v>76</v>
      </c>
      <c r="C13" s="1" t="s">
        <v>157</v>
      </c>
      <c r="D13" s="6">
        <v>0.71</v>
      </c>
      <c r="E13" s="1" t="s">
        <v>154</v>
      </c>
      <c r="F13" s="1" t="s">
        <v>92</v>
      </c>
      <c r="G13" s="1" t="s">
        <v>72</v>
      </c>
      <c r="H13" s="1" t="s">
        <v>68</v>
      </c>
      <c r="I13" s="1" t="s">
        <v>52</v>
      </c>
      <c r="J13" s="1" t="s">
        <v>79</v>
      </c>
      <c r="K13" s="1" t="s">
        <v>53</v>
      </c>
      <c r="L13" s="8" t="str">
        <f>HYPERLINK("https://www.sheetal.co/Details/StoneDetails/?stoneno=FMFS03707","YES")</f>
        <v>YES</v>
      </c>
      <c r="M13" s="8" t="str">
        <f>HYPERLINK("https://www.sheetal.co/Details/StoneDetails/?stoneno=FMFS03707","YES")</f>
        <v>YES</v>
      </c>
      <c r="N13" s="8" t="str">
        <f>HYPERLINK("https://www.sheetal.co/certificate/7516331651.pdf","7516331651")</f>
        <v>7516331651</v>
      </c>
      <c r="O13" s="6">
        <v>3000</v>
      </c>
      <c r="P13" s="6">
        <v>-45.1</v>
      </c>
      <c r="Q13" s="9">
        <v>1647</v>
      </c>
      <c r="R13" s="6">
        <v>1169.37</v>
      </c>
      <c r="S13" s="1" t="s">
        <v>54</v>
      </c>
      <c r="T13" s="1" t="s">
        <v>55</v>
      </c>
      <c r="U13" s="1" t="s">
        <v>56</v>
      </c>
      <c r="V13" s="1" t="s">
        <v>57</v>
      </c>
      <c r="W13" s="1" t="s">
        <v>58</v>
      </c>
      <c r="X13" s="1" t="s">
        <v>73</v>
      </c>
      <c r="Y13" s="1" t="s">
        <v>80</v>
      </c>
      <c r="Z13" s="1" t="s">
        <v>74</v>
      </c>
      <c r="AA13" s="1" t="s">
        <v>87</v>
      </c>
      <c r="AB13" s="1" t="s">
        <v>61</v>
      </c>
      <c r="AC13" s="1" t="s">
        <v>61</v>
      </c>
      <c r="AD13" s="1" t="s">
        <v>82</v>
      </c>
      <c r="AE13" s="1" t="s">
        <v>158</v>
      </c>
      <c r="AF13" s="1">
        <v>0.87</v>
      </c>
      <c r="AG13" s="1">
        <v>6.39</v>
      </c>
      <c r="AH13" s="1">
        <v>5.53</v>
      </c>
      <c r="AI13" s="1">
        <v>3.52</v>
      </c>
      <c r="AJ13" s="1">
        <v>3</v>
      </c>
      <c r="AK13" s="1">
        <v>67</v>
      </c>
      <c r="AL13" s="1">
        <v>55.1</v>
      </c>
      <c r="AM13" s="1">
        <v>44.07</v>
      </c>
      <c r="AN13" s="1">
        <v>12.16</v>
      </c>
      <c r="AO13" s="1">
        <v>42.97</v>
      </c>
      <c r="AP13" s="1">
        <v>39.9</v>
      </c>
      <c r="AQ13" s="1" t="s">
        <v>110</v>
      </c>
      <c r="AR13" s="1" t="s">
        <v>67</v>
      </c>
      <c r="AS13" s="1" t="s">
        <v>57</v>
      </c>
      <c r="AT13" s="1" t="s">
        <v>68</v>
      </c>
      <c r="AU13" s="1" t="s">
        <v>57</v>
      </c>
    </row>
    <row r="14" ht="14.55" spans="1:47">
      <c r="A14" s="5">
        <f>SUBTOTAL(3,A10:A13)</f>
        <v>4</v>
      </c>
      <c r="B14" s="7"/>
      <c r="C14" s="7"/>
      <c r="D14" s="7">
        <f>SUBTOTAL(9,D10:D13)</f>
        <v>2.61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ca="1">ROUND(SUMPRODUCT(SUBTOTAL(9,OFFSET(O10:O13,ROW(O10:O13)-MIN(ROW(O10:O13)),,1,1)),D10:D13)/SUBTOTAL(9,D10:D13),2)</f>
        <v>2693.49</v>
      </c>
      <c r="P14" s="7">
        <f ca="1">ROUND(IF(O8&lt;&gt;0,ROUND((O8-Q8)/O8*-100,2),0),2)</f>
        <v>-51.7</v>
      </c>
      <c r="Q14" s="7">
        <f>ROUND(SUBTOTAL(9,R10:R13)/SUBTOTAL(9,D10:D13),2)</f>
        <v>1300.93</v>
      </c>
      <c r="R14" s="7">
        <f>SUBTOTAL(9,R10:R13)</f>
        <v>3395.42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</sheetData>
  <autoFilter xmlns:etc="http://www.wps.cn/officeDocument/2017/etCustomData" ref="A9:AU13" etc:filterBottomFollowUsedRange="0">
    <extLst/>
  </autoFilter>
  <mergeCells count="7">
    <mergeCell ref="D3:M3"/>
    <mergeCell ref="D4:M4"/>
    <mergeCell ref="D5:M5"/>
    <mergeCell ref="D6:M6"/>
    <mergeCell ref="D7:M7"/>
    <mergeCell ref="B2:B6"/>
    <mergeCell ref="O2:P6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ROUND 27-02-2025</vt:lpstr>
      <vt:lpstr>DOSSIERS 27-02-2025</vt:lpstr>
      <vt:lpstr>FANCY_SHAPE 27-02-2025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Sheetal Manufacturing Company Pvt. Ltd.</dc:title>
  <dc:creator>Sheetal Manufacturing Company Pvt. Ltd.</dc:creator>
  <cp:lastModifiedBy>91965</cp:lastModifiedBy>
  <dcterms:created xsi:type="dcterms:W3CDTF">2025-02-27T09:07:00Z</dcterms:created>
  <dcterms:modified xsi:type="dcterms:W3CDTF">2025-02-27T09:59:18Z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26B3F286C4804591988DDC53AC408A83_12</vt:lpwstr>
  </property>
  <property fmtid="{D5CDD505-2E9C-101B-9397-08002B2CF9AE}" pid="3" name="KSOProductBuildVer">
    <vt:lpwstr>2057-12.2.0.19821</vt:lpwstr>
  </property>
</Properties>
</file>