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755" activeTab="1"/>
  </bookViews>
  <sheets>
    <sheet name="2000nos" sheetId="11" r:id="rId1"/>
    <sheet name="3000nos" sheetId="12" r:id="rId2"/>
  </sheets>
  <calcPr calcId="145621"/>
</workbook>
</file>

<file path=xl/calcChain.xml><?xml version="1.0" encoding="utf-8"?>
<calcChain xmlns="http://schemas.openxmlformats.org/spreadsheetml/2006/main">
  <c r="W30" i="12" l="1"/>
  <c r="V30" i="12" s="1"/>
  <c r="W29" i="12"/>
  <c r="V29" i="12"/>
  <c r="W28" i="12"/>
  <c r="V28" i="12" s="1"/>
  <c r="V31" i="12" s="1"/>
  <c r="W31" i="12" s="1"/>
  <c r="T24" i="12"/>
  <c r="S24" i="12"/>
  <c r="R24" i="12"/>
  <c r="Q24" i="12"/>
  <c r="K24" i="12"/>
  <c r="J24" i="12"/>
  <c r="H24" i="12"/>
  <c r="P13" i="12"/>
  <c r="P24" i="12" s="1"/>
  <c r="N13" i="12"/>
  <c r="N24" i="12" s="1"/>
  <c r="I13" i="12"/>
  <c r="I24" i="12" s="1"/>
  <c r="G13" i="12"/>
  <c r="G24" i="12" s="1"/>
  <c r="F13" i="12"/>
  <c r="F24" i="12" s="1"/>
  <c r="T12" i="12"/>
  <c r="S12" i="12"/>
  <c r="F13" i="11"/>
  <c r="O13" i="12" l="1"/>
  <c r="L13" i="12"/>
  <c r="L24" i="12" s="1"/>
  <c r="M24" i="12" s="1"/>
  <c r="M13" i="12"/>
  <c r="U13" i="12"/>
  <c r="V13" i="12" s="1"/>
  <c r="G13" i="11"/>
  <c r="P13" i="11"/>
  <c r="W28" i="11"/>
  <c r="O24" i="12" l="1"/>
  <c r="U24" i="12" s="1"/>
  <c r="O12" i="12"/>
  <c r="V24" i="12"/>
  <c r="W13" i="12"/>
  <c r="W24" i="12" s="1"/>
  <c r="I13" i="11"/>
  <c r="P35" i="12" l="1"/>
  <c r="M35" i="12"/>
  <c r="J35" i="12"/>
  <c r="G35" i="12"/>
  <c r="W25" i="12"/>
  <c r="X13" i="12"/>
  <c r="X24" i="12" s="1"/>
  <c r="X25" i="12" s="1"/>
  <c r="Y13" i="12"/>
  <c r="Y24" i="12"/>
  <c r="N13" i="11"/>
  <c r="P31" i="12" l="1"/>
  <c r="M31" i="12"/>
  <c r="J31" i="12"/>
  <c r="G31" i="12"/>
  <c r="M25" i="12"/>
  <c r="G24" i="11"/>
  <c r="W30" i="11"/>
  <c r="V30" i="11" s="1"/>
  <c r="W29" i="11"/>
  <c r="V29" i="11" s="1"/>
  <c r="V28" i="11"/>
  <c r="T24" i="11"/>
  <c r="S24" i="11"/>
  <c r="R24" i="11"/>
  <c r="Q24" i="11"/>
  <c r="K24" i="11"/>
  <c r="J24" i="11"/>
  <c r="H24" i="11"/>
  <c r="P24" i="11"/>
  <c r="I24" i="11"/>
  <c r="T12" i="11"/>
  <c r="S12" i="11"/>
  <c r="G41" i="12" l="1"/>
  <c r="G33" i="12"/>
  <c r="J41" i="12"/>
  <c r="J33" i="12"/>
  <c r="M41" i="12"/>
  <c r="M33" i="12"/>
  <c r="P41" i="12"/>
  <c r="P33" i="12"/>
  <c r="O13" i="11"/>
  <c r="U13" i="11" s="1"/>
  <c r="V31" i="11"/>
  <c r="W31" i="11" s="1"/>
  <c r="F24" i="11"/>
  <c r="N24" i="11"/>
  <c r="P37" i="12" l="1"/>
  <c r="Q33" i="12"/>
  <c r="M37" i="12"/>
  <c r="N33" i="12"/>
  <c r="J37" i="12"/>
  <c r="K33" i="12"/>
  <c r="G37" i="12"/>
  <c r="H33" i="12"/>
  <c r="O24" i="11"/>
  <c r="U24" i="11" s="1"/>
  <c r="O12" i="11"/>
  <c r="L13" i="11"/>
  <c r="M13" i="11" s="1"/>
  <c r="G43" i="12" l="1"/>
  <c r="H37" i="12"/>
  <c r="J43" i="12"/>
  <c r="K37" i="12"/>
  <c r="M43" i="12"/>
  <c r="N37" i="12"/>
  <c r="P43" i="12"/>
  <c r="Q37" i="12"/>
  <c r="L24" i="11"/>
  <c r="M24" i="11" s="1"/>
  <c r="V13" i="11"/>
  <c r="W13" i="11" l="1"/>
  <c r="W24" i="11" s="1"/>
  <c r="V24" i="11"/>
  <c r="M35" i="11" l="1"/>
  <c r="G35" i="11"/>
  <c r="W25" i="11"/>
  <c r="P35" i="11"/>
  <c r="J35" i="11"/>
  <c r="X13" i="11"/>
  <c r="X24" i="11" s="1"/>
  <c r="X25" i="11" s="1"/>
  <c r="Y13" i="11" l="1"/>
  <c r="Y24" i="11"/>
  <c r="M31" i="11" s="1"/>
  <c r="J31" i="11" l="1"/>
  <c r="J41" i="11" s="1"/>
  <c r="G31" i="11"/>
  <c r="G33" i="11" s="1"/>
  <c r="M25" i="11"/>
  <c r="P31" i="11"/>
  <c r="P33" i="11" s="1"/>
  <c r="M41" i="11"/>
  <c r="M33" i="11"/>
  <c r="G41" i="11" l="1"/>
  <c r="P41" i="11"/>
  <c r="J33" i="11"/>
  <c r="J37" i="11" s="1"/>
  <c r="G37" i="11"/>
  <c r="H33" i="11"/>
  <c r="M37" i="11"/>
  <c r="N33" i="11"/>
  <c r="P37" i="11"/>
  <c r="Q33" i="11"/>
  <c r="K33" i="11" l="1"/>
  <c r="J43" i="11"/>
  <c r="K37" i="11"/>
  <c r="P43" i="11"/>
  <c r="Q37" i="11"/>
  <c r="M43" i="11"/>
  <c r="N37" i="11"/>
  <c r="G43" i="11"/>
  <c r="H37" i="11"/>
</calcChain>
</file>

<file path=xl/sharedStrings.xml><?xml version="1.0" encoding="utf-8"?>
<sst xmlns="http://schemas.openxmlformats.org/spreadsheetml/2006/main" count="134" uniqueCount="61">
  <si>
    <t>Date :</t>
  </si>
  <si>
    <t>Company</t>
  </si>
  <si>
    <t>Qty</t>
  </si>
  <si>
    <t>Direct Material</t>
  </si>
  <si>
    <t xml:space="preserve">Wastage </t>
  </si>
  <si>
    <t>Tot Mat cost</t>
  </si>
  <si>
    <t>Variable OH</t>
  </si>
  <si>
    <t xml:space="preserve"> Mat +VC</t>
  </si>
  <si>
    <t>FOH</t>
  </si>
  <si>
    <t>Tot cost per unit</t>
  </si>
  <si>
    <t>Description</t>
  </si>
  <si>
    <t>Material</t>
  </si>
  <si>
    <t xml:space="preserve">Ink </t>
  </si>
  <si>
    <t>Digital</t>
  </si>
  <si>
    <t>Lami.</t>
  </si>
  <si>
    <t>Lab</t>
  </si>
  <si>
    <t>Electricity</t>
  </si>
  <si>
    <t>Positive</t>
  </si>
  <si>
    <t>Die make chgs</t>
  </si>
  <si>
    <t>Packing</t>
  </si>
  <si>
    <t>Tot VC</t>
  </si>
  <si>
    <t>PP Board</t>
  </si>
  <si>
    <t>2.8mm  96'' x 46''</t>
  </si>
  <si>
    <t>Board Size</t>
  </si>
  <si>
    <t>*</t>
  </si>
  <si>
    <t>No. of outs</t>
  </si>
  <si>
    <t>10-2up</t>
  </si>
  <si>
    <t>Labour</t>
  </si>
  <si>
    <t xml:space="preserve">Marging </t>
  </si>
  <si>
    <t>SP</t>
  </si>
  <si>
    <t>Contribution</t>
  </si>
  <si>
    <t>NP</t>
  </si>
  <si>
    <t>Rs.</t>
  </si>
  <si>
    <t>Total Value of the Order</t>
  </si>
  <si>
    <t>Transport Colombo</t>
  </si>
  <si>
    <t>Prepared by</t>
  </si>
  <si>
    <t>………………</t>
  </si>
  <si>
    <t>……………..</t>
  </si>
  <si>
    <t>……………………..</t>
  </si>
  <si>
    <t>Agreed price  ………………</t>
  </si>
  <si>
    <t>Costing</t>
  </si>
  <si>
    <t>Finance</t>
  </si>
  <si>
    <t>Authorised by</t>
  </si>
  <si>
    <t>printing  10d</t>
  </si>
  <si>
    <t>Day's</t>
  </si>
  <si>
    <t>Cutting -Separate 1.5d</t>
  </si>
  <si>
    <t>Diecut 5d</t>
  </si>
  <si>
    <t>……………..…</t>
  </si>
  <si>
    <t>Commission ……………….</t>
  </si>
  <si>
    <t>Final Price ………………….</t>
  </si>
  <si>
    <t>GM Sales &amp; Marketing</t>
  </si>
  <si>
    <t>…………………...………..</t>
  </si>
  <si>
    <t>Plastic Black Bracket</t>
  </si>
  <si>
    <t>ESC</t>
  </si>
  <si>
    <t>Normal Double Side Tape</t>
  </si>
  <si>
    <t>Orel</t>
  </si>
  <si>
    <t>Cutting chgs</t>
  </si>
  <si>
    <t>430/-</t>
  </si>
  <si>
    <t>29.06.2018</t>
  </si>
  <si>
    <t xml:space="preserve">16" x 22" - Screen Printed PP Door Panel Single Side with Double Side Tape 1" X 4nos/ 5Colour / 1AW   </t>
  </si>
  <si>
    <t xml:space="preserve">16" x 22" - Screen Printed PP Door Panel Single Side with Double Side Tape 1" X 4nos/ 5 Colour / 1AW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</si>
</sst>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8"/>
      <color theme="1"/>
      <name val="Calibri"/>
      <family val="2"/>
      <scheme val="minor"/>
    </font>
    <font>
      <b/>
      <sz val="2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9" fillId="0" borderId="7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9" fillId="0" borderId="6" xfId="0" applyFont="1" applyFill="1" applyBorder="1" applyAlignment="1">
      <alignment wrapText="1"/>
    </xf>
    <xf numFmtId="0" fontId="9" fillId="0" borderId="5" xfId="0" applyFont="1" applyFill="1" applyBorder="1" applyAlignment="1">
      <alignment wrapText="1"/>
    </xf>
    <xf numFmtId="0" fontId="9" fillId="0" borderId="12" xfId="0" applyFont="1" applyFill="1" applyBorder="1" applyAlignment="1">
      <alignment wrapText="1"/>
    </xf>
    <xf numFmtId="10" fontId="9" fillId="0" borderId="12" xfId="0" applyNumberFormat="1" applyFont="1" applyFill="1" applyBorder="1" applyAlignment="1">
      <alignment horizontal="center" wrapText="1"/>
    </xf>
    <xf numFmtId="0" fontId="9" fillId="3" borderId="1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6" borderId="15" xfId="0" applyFont="1" applyFill="1" applyBorder="1"/>
    <xf numFmtId="0" fontId="10" fillId="6" borderId="0" xfId="0" applyFont="1" applyFill="1" applyBorder="1"/>
    <xf numFmtId="0" fontId="10" fillId="6" borderId="16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18" xfId="0" applyFill="1" applyBorder="1"/>
    <xf numFmtId="0" fontId="0" fillId="2" borderId="16" xfId="0" applyFill="1" applyBorder="1"/>
    <xf numFmtId="0" fontId="0" fillId="3" borderId="19" xfId="0" applyFill="1" applyBorder="1"/>
    <xf numFmtId="0" fontId="0" fillId="0" borderId="19" xfId="0" applyFill="1" applyBorder="1"/>
    <xf numFmtId="0" fontId="0" fillId="4" borderId="19" xfId="0" applyFill="1" applyBorder="1"/>
    <xf numFmtId="0" fontId="0" fillId="5" borderId="19" xfId="0" applyFill="1" applyBorder="1"/>
    <xf numFmtId="43" fontId="0" fillId="0" borderId="6" xfId="1" applyNumberFormat="1" applyFont="1" applyFill="1" applyBorder="1"/>
    <xf numFmtId="43" fontId="0" fillId="0" borderId="5" xfId="1" applyNumberFormat="1" applyFont="1" applyFill="1" applyBorder="1"/>
    <xf numFmtId="43" fontId="0" fillId="0" borderId="12" xfId="1" applyNumberFormat="1" applyFont="1" applyFill="1" applyBorder="1"/>
    <xf numFmtId="43" fontId="0" fillId="2" borderId="13" xfId="1" applyNumberFormat="1" applyFont="1" applyFill="1" applyBorder="1"/>
    <xf numFmtId="43" fontId="0" fillId="3" borderId="20" xfId="1" applyNumberFormat="1" applyFont="1" applyFill="1" applyBorder="1"/>
    <xf numFmtId="43" fontId="0" fillId="0" borderId="20" xfId="1" applyNumberFormat="1" applyFont="1" applyFill="1" applyBorder="1"/>
    <xf numFmtId="43" fontId="0" fillId="4" borderId="20" xfId="1" applyNumberFormat="1" applyFont="1" applyFill="1" applyBorder="1"/>
    <xf numFmtId="43" fontId="0" fillId="5" borderId="21" xfId="1" applyNumberFormat="1" applyFont="1" applyFill="1" applyBorder="1"/>
    <xf numFmtId="43" fontId="0" fillId="0" borderId="17" xfId="1" applyNumberFormat="1" applyFont="1" applyFill="1" applyBorder="1"/>
    <xf numFmtId="43" fontId="0" fillId="0" borderId="0" xfId="1" applyNumberFormat="1" applyFont="1" applyFill="1" applyBorder="1"/>
    <xf numFmtId="43" fontId="0" fillId="0" borderId="18" xfId="1" applyNumberFormat="1" applyFont="1" applyFill="1" applyBorder="1"/>
    <xf numFmtId="43" fontId="0" fillId="2" borderId="16" xfId="1" applyNumberFormat="1" applyFont="1" applyFill="1" applyBorder="1"/>
    <xf numFmtId="43" fontId="0" fillId="3" borderId="19" xfId="1" applyNumberFormat="1" applyFont="1" applyFill="1" applyBorder="1"/>
    <xf numFmtId="43" fontId="0" fillId="0" borderId="19" xfId="1" applyNumberFormat="1" applyFont="1" applyFill="1" applyBorder="1"/>
    <xf numFmtId="43" fontId="0" fillId="4" borderId="19" xfId="1" applyNumberFormat="1" applyFont="1" applyFill="1" applyBorder="1"/>
    <xf numFmtId="0" fontId="11" fillId="6" borderId="15" xfId="0" applyFont="1" applyFill="1" applyBorder="1"/>
    <xf numFmtId="0" fontId="11" fillId="6" borderId="0" xfId="0" applyFont="1" applyFill="1" applyBorder="1"/>
    <xf numFmtId="0" fontId="11" fillId="6" borderId="16" xfId="0" applyFont="1" applyFill="1" applyBorder="1"/>
    <xf numFmtId="43" fontId="0" fillId="0" borderId="0" xfId="1" applyNumberFormat="1" applyFont="1" applyFill="1"/>
    <xf numFmtId="43" fontId="0" fillId="5" borderId="19" xfId="1" applyNumberFormat="1" applyFont="1" applyFill="1" applyBorder="1"/>
    <xf numFmtId="0" fontId="10" fillId="6" borderId="0" xfId="0" quotePrefix="1" applyFont="1" applyFill="1" applyBorder="1"/>
    <xf numFmtId="0" fontId="10" fillId="6" borderId="16" xfId="0" quotePrefix="1" applyFont="1" applyFill="1" applyBorder="1"/>
    <xf numFmtId="43" fontId="0" fillId="0" borderId="22" xfId="1" applyNumberFormat="1" applyFont="1" applyFill="1" applyBorder="1"/>
    <xf numFmtId="43" fontId="0" fillId="0" borderId="23" xfId="1" applyNumberFormat="1" applyFont="1" applyFill="1" applyBorder="1"/>
    <xf numFmtId="0" fontId="10" fillId="6" borderId="24" xfId="0" applyFont="1" applyFill="1" applyBorder="1"/>
    <xf numFmtId="0" fontId="10" fillId="6" borderId="25" xfId="0" applyFont="1" applyFill="1" applyBorder="1"/>
    <xf numFmtId="0" fontId="10" fillId="6" borderId="26" xfId="0" applyFont="1" applyFill="1" applyBorder="1"/>
    <xf numFmtId="43" fontId="0" fillId="0" borderId="27" xfId="1" applyNumberFormat="1" applyFont="1" applyFill="1" applyBorder="1"/>
    <xf numFmtId="43" fontId="0" fillId="0" borderId="28" xfId="1" applyNumberFormat="1" applyFont="1" applyFill="1" applyBorder="1"/>
    <xf numFmtId="43" fontId="0" fillId="0" borderId="29" xfId="1" applyNumberFormat="1" applyFont="1" applyFill="1" applyBorder="1"/>
    <xf numFmtId="43" fontId="0" fillId="2" borderId="30" xfId="1" applyNumberFormat="1" applyFont="1" applyFill="1" applyBorder="1"/>
    <xf numFmtId="43" fontId="0" fillId="0" borderId="31" xfId="1" applyNumberFormat="1" applyFont="1" applyFill="1" applyBorder="1"/>
    <xf numFmtId="43" fontId="0" fillId="3" borderId="32" xfId="1" applyNumberFormat="1" applyFont="1" applyFill="1" applyBorder="1"/>
    <xf numFmtId="43" fontId="0" fillId="0" borderId="32" xfId="1" applyNumberFormat="1" applyFont="1" applyFill="1" applyBorder="1"/>
    <xf numFmtId="43" fontId="0" fillId="4" borderId="32" xfId="1" applyNumberFormat="1" applyFont="1" applyFill="1" applyBorder="1"/>
    <xf numFmtId="43" fontId="0" fillId="5" borderId="32" xfId="1" applyNumberFormat="1" applyFont="1" applyFill="1" applyBorder="1"/>
    <xf numFmtId="9" fontId="0" fillId="2" borderId="0" xfId="2" applyFont="1" applyFill="1" applyBorder="1"/>
    <xf numFmtId="43" fontId="0" fillId="3" borderId="0" xfId="1" applyNumberFormat="1" applyFont="1" applyFill="1" applyBorder="1"/>
    <xf numFmtId="43" fontId="0" fillId="5" borderId="0" xfId="1" applyNumberFormat="1" applyFont="1" applyFill="1" applyBorder="1"/>
    <xf numFmtId="0" fontId="10" fillId="0" borderId="0" xfId="0" applyFont="1"/>
    <xf numFmtId="9" fontId="12" fillId="0" borderId="0" xfId="0" applyNumberFormat="1" applyFont="1"/>
    <xf numFmtId="0" fontId="12" fillId="0" borderId="0" xfId="0" applyFont="1"/>
    <xf numFmtId="43" fontId="0" fillId="0" borderId="0" xfId="1" applyFont="1"/>
    <xf numFmtId="0" fontId="10" fillId="0" borderId="0" xfId="0" applyFont="1" applyAlignment="1">
      <alignment horizontal="left" indent="5"/>
    </xf>
    <xf numFmtId="43" fontId="2" fillId="7" borderId="27" xfId="1" applyFont="1" applyFill="1" applyBorder="1"/>
    <xf numFmtId="0" fontId="2" fillId="0" borderId="12" xfId="0" applyFont="1" applyBorder="1"/>
    <xf numFmtId="9" fontId="0" fillId="0" borderId="0" xfId="2" applyFont="1"/>
    <xf numFmtId="43" fontId="2" fillId="8" borderId="27" xfId="1" applyFont="1" applyFill="1" applyBorder="1"/>
    <xf numFmtId="9" fontId="2" fillId="0" borderId="0" xfId="2" applyFont="1"/>
    <xf numFmtId="0" fontId="2" fillId="0" borderId="0" xfId="0" applyFont="1" applyFill="1"/>
    <xf numFmtId="43" fontId="2" fillId="0" borderId="0" xfId="1" applyFont="1" applyFill="1" applyBorder="1"/>
    <xf numFmtId="9" fontId="2" fillId="0" borderId="0" xfId="2" applyFont="1" applyFill="1"/>
    <xf numFmtId="0" fontId="12" fillId="0" borderId="0" xfId="0" applyFont="1" applyAlignment="1">
      <alignment horizontal="center"/>
    </xf>
    <xf numFmtId="43" fontId="0" fillId="0" borderId="0" xfId="0" applyNumberFormat="1"/>
    <xf numFmtId="0" fontId="8" fillId="0" borderId="0" xfId="0" applyFont="1" applyAlignment="1"/>
    <xf numFmtId="0" fontId="13" fillId="0" borderId="0" xfId="0" applyFont="1" applyFill="1"/>
    <xf numFmtId="164" fontId="13" fillId="0" borderId="18" xfId="0" applyNumberFormat="1" applyFont="1" applyFill="1" applyBorder="1"/>
    <xf numFmtId="164" fontId="13" fillId="0" borderId="0" xfId="0" applyNumberFormat="1" applyFont="1" applyFill="1"/>
    <xf numFmtId="2" fontId="14" fillId="0" borderId="0" xfId="0" applyNumberFormat="1" applyFont="1"/>
    <xf numFmtId="0" fontId="15" fillId="0" borderId="0" xfId="0" applyFont="1"/>
    <xf numFmtId="0" fontId="0" fillId="0" borderId="0" xfId="0" applyAlignment="1">
      <alignment horizontal="center"/>
    </xf>
    <xf numFmtId="43" fontId="0" fillId="0" borderId="33" xfId="1" applyNumberFormat="1" applyFont="1" applyFill="1" applyBorder="1"/>
    <xf numFmtId="165" fontId="12" fillId="0" borderId="0" xfId="0" applyNumberFormat="1" applyFont="1"/>
    <xf numFmtId="43" fontId="0" fillId="5" borderId="34" xfId="1" applyNumberFormat="1" applyFont="1" applyFill="1" applyBorder="1"/>
    <xf numFmtId="165" fontId="0" fillId="4" borderId="0" xfId="1" applyNumberFormat="1" applyFont="1" applyFill="1" applyBorder="1"/>
    <xf numFmtId="43" fontId="0" fillId="4" borderId="35" xfId="1" applyNumberFormat="1" applyFont="1" applyFill="1" applyBorder="1"/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50"/>
  <sheetViews>
    <sheetView topLeftCell="F1" workbookViewId="0">
      <selection activeCell="H4" sqref="H4"/>
    </sheetView>
  </sheetViews>
  <sheetFormatPr defaultRowHeight="15" x14ac:dyDescent="0.25"/>
  <cols>
    <col min="1" max="1" width="1" customWidth="1"/>
    <col min="2" max="2" width="5" customWidth="1"/>
    <col min="3" max="3" width="1.85546875" customWidth="1"/>
    <col min="4" max="4" width="3" customWidth="1"/>
    <col min="5" max="5" width="6.140625" customWidth="1"/>
    <col min="6" max="6" width="8.28515625" customWidth="1"/>
    <col min="7" max="7" width="13.28515625" bestFit="1" customWidth="1"/>
    <col min="8" max="8" width="8" customWidth="1"/>
    <col min="9" max="9" width="7.85546875" customWidth="1"/>
    <col min="10" max="10" width="14.28515625" customWidth="1"/>
    <col min="12" max="12" width="7.5703125" customWidth="1"/>
    <col min="13" max="13" width="14.28515625" customWidth="1"/>
    <col min="15" max="15" width="9.5703125" bestFit="1" customWidth="1"/>
    <col min="16" max="16" width="14.140625" customWidth="1"/>
    <col min="17" max="17" width="7.85546875" customWidth="1"/>
    <col min="20" max="20" width="11.7109375" customWidth="1"/>
    <col min="21" max="21" width="7.85546875" customWidth="1"/>
    <col min="23" max="24" width="8" customWidth="1"/>
    <col min="25" max="25" width="9" customWidth="1"/>
  </cols>
  <sheetData>
    <row r="1" spans="2:25" x14ac:dyDescent="0.25">
      <c r="Y1" s="1"/>
    </row>
    <row r="2" spans="2:25" x14ac:dyDescent="0.25">
      <c r="T2" s="3"/>
      <c r="U2" s="3"/>
      <c r="V2" s="2" t="s">
        <v>0</v>
      </c>
      <c r="W2" s="2" t="s">
        <v>58</v>
      </c>
      <c r="X2" s="2"/>
      <c r="Y2" s="1"/>
    </row>
    <row r="3" spans="2:25" x14ac:dyDescent="0.25">
      <c r="V3" s="7"/>
      <c r="W3" s="7"/>
      <c r="X3" s="7"/>
    </row>
    <row r="4" spans="2:25" ht="23.25" customHeight="1" x14ac:dyDescent="0.4">
      <c r="F4" s="4" t="s">
        <v>1</v>
      </c>
      <c r="G4" s="5"/>
      <c r="H4" s="6" t="s">
        <v>55</v>
      </c>
      <c r="S4" s="81"/>
      <c r="T4" s="96"/>
      <c r="U4" s="96"/>
      <c r="V4" s="96"/>
      <c r="W4" s="81"/>
      <c r="X4" s="81"/>
      <c r="Y4" s="81"/>
    </row>
    <row r="5" spans="2:25" ht="18" customHeight="1" x14ac:dyDescent="0.4">
      <c r="F5" s="4"/>
      <c r="G5" s="5"/>
      <c r="S5" s="81"/>
      <c r="T5" s="96"/>
      <c r="U5" s="96"/>
      <c r="V5" s="96"/>
      <c r="W5" s="81"/>
      <c r="X5" s="81"/>
      <c r="Y5" s="81"/>
    </row>
    <row r="6" spans="2:25" ht="18" x14ac:dyDescent="0.25">
      <c r="F6" s="4" t="s">
        <v>2</v>
      </c>
      <c r="G6" s="97">
        <v>2000</v>
      </c>
      <c r="H6" s="97"/>
      <c r="I6" s="97"/>
    </row>
    <row r="7" spans="2:25" ht="15.75" thickBot="1" x14ac:dyDescent="0.3"/>
    <row r="8" spans="2:25" ht="16.5" thickBot="1" x14ac:dyDescent="0.3">
      <c r="F8" s="98" t="s">
        <v>59</v>
      </c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100"/>
    </row>
    <row r="9" spans="2:25" ht="15.75" thickBot="1" x14ac:dyDescent="0.3"/>
    <row r="10" spans="2:25" s="7" customFormat="1" ht="16.5" customHeight="1" thickBot="1" x14ac:dyDescent="0.3">
      <c r="F10" s="101" t="s">
        <v>3</v>
      </c>
      <c r="G10" s="102"/>
      <c r="H10" s="102"/>
      <c r="I10" s="102"/>
      <c r="J10" s="102"/>
      <c r="K10" s="103"/>
      <c r="L10" s="8" t="s">
        <v>4</v>
      </c>
      <c r="M10" s="104" t="s">
        <v>5</v>
      </c>
      <c r="N10" s="102" t="s">
        <v>6</v>
      </c>
      <c r="O10" s="102"/>
      <c r="P10" s="102"/>
      <c r="Q10" s="102"/>
      <c r="R10" s="102"/>
      <c r="S10" s="102"/>
      <c r="T10" s="102"/>
      <c r="U10" s="9"/>
      <c r="V10" s="106" t="s">
        <v>7</v>
      </c>
      <c r="W10" s="108" t="s">
        <v>8</v>
      </c>
      <c r="X10" s="108" t="s">
        <v>53</v>
      </c>
      <c r="Y10" s="110" t="s">
        <v>9</v>
      </c>
    </row>
    <row r="11" spans="2:25" s="15" customFormat="1" ht="51" customHeight="1" x14ac:dyDescent="0.2">
      <c r="B11" s="93" t="s">
        <v>10</v>
      </c>
      <c r="C11" s="94"/>
      <c r="D11" s="94"/>
      <c r="E11" s="95"/>
      <c r="F11" s="10" t="s">
        <v>11</v>
      </c>
      <c r="G11" s="11" t="s">
        <v>12</v>
      </c>
      <c r="H11" s="12" t="s">
        <v>52</v>
      </c>
      <c r="I11" s="11" t="s">
        <v>54</v>
      </c>
      <c r="J11" s="12" t="s">
        <v>13</v>
      </c>
      <c r="K11" s="11" t="s">
        <v>14</v>
      </c>
      <c r="L11" s="13">
        <v>4.4999999999999998E-2</v>
      </c>
      <c r="M11" s="105"/>
      <c r="N11" s="11" t="s">
        <v>15</v>
      </c>
      <c r="O11" s="12" t="s">
        <v>16</v>
      </c>
      <c r="P11" s="11" t="s">
        <v>17</v>
      </c>
      <c r="Q11" s="12" t="s">
        <v>18</v>
      </c>
      <c r="R11" s="11" t="s">
        <v>56</v>
      </c>
      <c r="S11" s="12" t="s">
        <v>19</v>
      </c>
      <c r="T11" s="11" t="s">
        <v>34</v>
      </c>
      <c r="U11" s="14" t="s">
        <v>20</v>
      </c>
      <c r="V11" s="107"/>
      <c r="W11" s="109"/>
      <c r="X11" s="109"/>
      <c r="Y11" s="111"/>
    </row>
    <row r="12" spans="2:25" x14ac:dyDescent="0.25">
      <c r="B12" s="16"/>
      <c r="C12" s="17"/>
      <c r="D12" s="17"/>
      <c r="E12" s="18"/>
      <c r="F12" s="19"/>
      <c r="G12" s="20"/>
      <c r="H12" s="21"/>
      <c r="I12" s="20"/>
      <c r="J12" s="21"/>
      <c r="K12" s="20"/>
      <c r="L12" s="21"/>
      <c r="M12" s="22"/>
      <c r="N12" s="82"/>
      <c r="O12" s="83">
        <f>O13*G6</f>
        <v>5000</v>
      </c>
      <c r="P12" s="84"/>
      <c r="Q12" s="83"/>
      <c r="R12" s="84"/>
      <c r="S12" s="83">
        <f>S13*G6</f>
        <v>1000</v>
      </c>
      <c r="T12" s="84">
        <f>T13*G6</f>
        <v>2400</v>
      </c>
      <c r="U12" s="23"/>
      <c r="V12" s="24"/>
      <c r="W12" s="25"/>
      <c r="X12" s="25"/>
      <c r="Y12" s="26"/>
    </row>
    <row r="13" spans="2:25" x14ac:dyDescent="0.25">
      <c r="B13" s="16" t="s">
        <v>21</v>
      </c>
      <c r="C13" s="17"/>
      <c r="D13" s="17"/>
      <c r="E13" s="18"/>
      <c r="F13" s="27">
        <f>430/10</f>
        <v>43</v>
      </c>
      <c r="G13" s="28">
        <f>(B17*D17)/144*5*1.2</f>
        <v>15.583333333333332</v>
      </c>
      <c r="H13" s="29">
        <v>0</v>
      </c>
      <c r="I13" s="28">
        <f>300/300*6</f>
        <v>6</v>
      </c>
      <c r="J13" s="29">
        <v>0</v>
      </c>
      <c r="K13" s="28">
        <v>0</v>
      </c>
      <c r="L13" s="29">
        <f>(F24+G24)*L11</f>
        <v>2.6362499999999995</v>
      </c>
      <c r="M13" s="30">
        <f>SUM(F13:L13)</f>
        <v>67.219583333333333</v>
      </c>
      <c r="N13" s="28">
        <f>4+(2.5/60*115)</f>
        <v>8.7916666666666661</v>
      </c>
      <c r="O13" s="29">
        <f>W28*2000/G6</f>
        <v>2.5</v>
      </c>
      <c r="P13" s="28">
        <f>(46*19.5*2*5*2)/G6</f>
        <v>8.9700000000000006</v>
      </c>
      <c r="Q13" s="29">
        <v>0</v>
      </c>
      <c r="R13" s="28">
        <v>2.5</v>
      </c>
      <c r="S13" s="29">
        <v>0.5</v>
      </c>
      <c r="T13" s="28">
        <v>1.2</v>
      </c>
      <c r="U13" s="31">
        <f>SUM(N13:T13)</f>
        <v>24.461666666666666</v>
      </c>
      <c r="V13" s="32">
        <f>SUM(U13,M13)</f>
        <v>91.681250000000006</v>
      </c>
      <c r="W13" s="33">
        <f>V13*1.1*0.1</f>
        <v>10.084937500000002</v>
      </c>
      <c r="X13" s="92">
        <f>(V13+W13)*0.5%</f>
        <v>0.50883093749999997</v>
      </c>
      <c r="Y13" s="34">
        <f>SUM(V13:X13)</f>
        <v>102.27501843749999</v>
      </c>
    </row>
    <row r="14" spans="2:25" x14ac:dyDescent="0.25">
      <c r="B14" s="16" t="s">
        <v>22</v>
      </c>
      <c r="C14" s="17"/>
      <c r="D14" s="17"/>
      <c r="E14" s="18"/>
      <c r="F14" s="35"/>
      <c r="G14" s="36"/>
      <c r="H14" s="37"/>
      <c r="I14" s="36"/>
      <c r="J14" s="37"/>
      <c r="K14" s="36"/>
      <c r="L14" s="37"/>
      <c r="M14" s="38"/>
      <c r="N14" s="36"/>
      <c r="O14" s="37"/>
      <c r="P14" s="36"/>
      <c r="Q14" s="37"/>
      <c r="R14" s="36"/>
      <c r="S14" s="37"/>
      <c r="T14" s="36"/>
      <c r="U14" s="39"/>
      <c r="V14" s="40"/>
      <c r="W14" s="41"/>
      <c r="X14" s="41"/>
      <c r="Y14" s="90"/>
    </row>
    <row r="15" spans="2:25" x14ac:dyDescent="0.25">
      <c r="B15" s="16" t="s">
        <v>57</v>
      </c>
      <c r="C15" s="17"/>
      <c r="D15" s="17"/>
      <c r="E15" s="18"/>
      <c r="F15" s="35"/>
      <c r="G15" s="36"/>
      <c r="H15" s="37"/>
      <c r="I15" s="36"/>
      <c r="J15" s="37"/>
      <c r="K15" s="36"/>
      <c r="L15" s="37"/>
      <c r="M15" s="38"/>
      <c r="N15" s="36"/>
      <c r="O15" s="37"/>
      <c r="P15" s="36"/>
      <c r="Q15" s="37"/>
      <c r="R15" s="36"/>
      <c r="S15" s="37"/>
      <c r="T15" s="36"/>
      <c r="U15" s="39"/>
      <c r="V15" s="40"/>
      <c r="W15" s="41"/>
      <c r="X15" s="41"/>
      <c r="Y15" s="46"/>
    </row>
    <row r="16" spans="2:25" x14ac:dyDescent="0.25">
      <c r="B16" s="42" t="s">
        <v>23</v>
      </c>
      <c r="C16" s="43"/>
      <c r="D16" s="43"/>
      <c r="E16" s="44"/>
      <c r="F16" s="35"/>
      <c r="G16" s="45"/>
      <c r="H16" s="37"/>
      <c r="I16" s="45"/>
      <c r="J16" s="37"/>
      <c r="K16" s="45"/>
      <c r="L16" s="37"/>
      <c r="M16" s="38"/>
      <c r="N16" s="45"/>
      <c r="O16" s="37"/>
      <c r="P16" s="45"/>
      <c r="Q16" s="37"/>
      <c r="R16" s="45"/>
      <c r="S16" s="37"/>
      <c r="T16" s="45"/>
      <c r="U16" s="39"/>
      <c r="V16" s="40"/>
      <c r="W16" s="41"/>
      <c r="X16" s="41"/>
      <c r="Y16" s="46"/>
    </row>
    <row r="17" spans="2:25" x14ac:dyDescent="0.25">
      <c r="B17" s="16">
        <v>17</v>
      </c>
      <c r="C17" s="17" t="s">
        <v>24</v>
      </c>
      <c r="D17" s="17">
        <v>22</v>
      </c>
      <c r="E17" s="18"/>
      <c r="F17" s="35"/>
      <c r="G17" s="45"/>
      <c r="H17" s="37"/>
      <c r="I17" s="45"/>
      <c r="J17" s="37"/>
      <c r="K17" s="45"/>
      <c r="L17" s="37"/>
      <c r="M17" s="38"/>
      <c r="N17" s="45"/>
      <c r="O17" s="37"/>
      <c r="P17" s="45"/>
      <c r="Q17" s="37"/>
      <c r="R17" s="45"/>
      <c r="S17" s="37"/>
      <c r="T17" s="45"/>
      <c r="U17" s="39"/>
      <c r="V17" s="40"/>
      <c r="W17" s="41"/>
      <c r="X17" s="41"/>
      <c r="Y17" s="46"/>
    </row>
    <row r="18" spans="2:25" x14ac:dyDescent="0.25">
      <c r="B18" s="16"/>
      <c r="C18" s="17"/>
      <c r="D18" s="17"/>
      <c r="E18" s="18"/>
      <c r="F18" s="35"/>
      <c r="G18" s="45"/>
      <c r="H18" s="37"/>
      <c r="I18" s="45"/>
      <c r="J18" s="37"/>
      <c r="K18" s="45"/>
      <c r="L18" s="37"/>
      <c r="M18" s="38"/>
      <c r="N18" s="45"/>
      <c r="O18" s="37"/>
      <c r="P18" s="45"/>
      <c r="Q18" s="37"/>
      <c r="R18" s="45"/>
      <c r="S18" s="37"/>
      <c r="T18" s="45"/>
      <c r="U18" s="39"/>
      <c r="V18" s="40"/>
      <c r="W18" s="41"/>
      <c r="X18" s="41"/>
      <c r="Y18" s="46"/>
    </row>
    <row r="19" spans="2:25" x14ac:dyDescent="0.25">
      <c r="B19" s="42" t="s">
        <v>25</v>
      </c>
      <c r="C19" s="43"/>
      <c r="D19" s="43"/>
      <c r="E19" s="44"/>
      <c r="F19" s="35"/>
      <c r="G19" s="45"/>
      <c r="H19" s="37"/>
      <c r="I19" s="45"/>
      <c r="J19" s="37"/>
      <c r="K19" s="45"/>
      <c r="L19" s="37"/>
      <c r="M19" s="38"/>
      <c r="N19" s="45"/>
      <c r="O19" s="37"/>
      <c r="P19" s="45"/>
      <c r="Q19" s="37"/>
      <c r="R19" s="45"/>
      <c r="S19" s="37"/>
      <c r="T19" s="45"/>
      <c r="U19" s="39"/>
      <c r="V19" s="40"/>
      <c r="W19" s="41"/>
      <c r="X19" s="41"/>
      <c r="Y19" s="46"/>
    </row>
    <row r="20" spans="2:25" x14ac:dyDescent="0.25">
      <c r="B20" s="16" t="s">
        <v>26</v>
      </c>
      <c r="C20" s="47"/>
      <c r="D20" s="47"/>
      <c r="E20" s="48"/>
      <c r="F20" s="35"/>
      <c r="G20" s="45"/>
      <c r="H20" s="37"/>
      <c r="I20" s="45"/>
      <c r="J20" s="37"/>
      <c r="K20" s="45"/>
      <c r="L20" s="37"/>
      <c r="M20" s="38"/>
      <c r="N20" s="45"/>
      <c r="O20" s="37"/>
      <c r="P20" s="45"/>
      <c r="Q20" s="37"/>
      <c r="R20" s="45"/>
      <c r="S20" s="37"/>
      <c r="T20" s="45"/>
      <c r="U20" s="39"/>
      <c r="V20" s="40"/>
      <c r="W20" s="41"/>
      <c r="X20" s="41"/>
      <c r="Y20" s="46"/>
    </row>
    <row r="21" spans="2:25" x14ac:dyDescent="0.25">
      <c r="B21" s="16"/>
      <c r="C21" s="17"/>
      <c r="D21" s="17"/>
      <c r="E21" s="18"/>
      <c r="F21" s="35"/>
      <c r="G21" s="45"/>
      <c r="H21" s="37"/>
      <c r="I21" s="45"/>
      <c r="J21" s="37"/>
      <c r="K21" s="45"/>
      <c r="L21" s="37"/>
      <c r="M21" s="38"/>
      <c r="N21" s="45"/>
      <c r="O21" s="37"/>
      <c r="P21" s="45"/>
      <c r="Q21" s="37"/>
      <c r="R21" s="45"/>
      <c r="S21" s="37"/>
      <c r="T21" s="45"/>
      <c r="U21" s="39"/>
      <c r="V21" s="40"/>
      <c r="W21" s="41"/>
      <c r="X21" s="41"/>
      <c r="Y21" s="46"/>
    </row>
    <row r="22" spans="2:25" x14ac:dyDescent="0.25">
      <c r="B22" s="16"/>
      <c r="C22" s="17"/>
      <c r="D22" s="17"/>
      <c r="E22" s="18"/>
      <c r="F22" s="35"/>
      <c r="G22" s="45"/>
      <c r="H22" s="37"/>
      <c r="I22" s="45"/>
      <c r="J22" s="37"/>
      <c r="K22" s="45"/>
      <c r="L22" s="37"/>
      <c r="M22" s="38"/>
      <c r="N22" s="45"/>
      <c r="O22" s="37"/>
      <c r="P22" s="45"/>
      <c r="Q22" s="37"/>
      <c r="R22" s="45"/>
      <c r="S22" s="37"/>
      <c r="T22" s="45"/>
      <c r="U22" s="39"/>
      <c r="V22" s="40"/>
      <c r="W22" s="41"/>
      <c r="X22" s="41"/>
      <c r="Y22" s="46"/>
    </row>
    <row r="23" spans="2:25" x14ac:dyDescent="0.25">
      <c r="B23" s="16"/>
      <c r="C23" s="17"/>
      <c r="D23" s="17"/>
      <c r="E23" s="18"/>
      <c r="F23" s="49"/>
      <c r="G23" s="45"/>
      <c r="H23" s="50"/>
      <c r="I23" s="45"/>
      <c r="J23" s="50"/>
      <c r="K23" s="45"/>
      <c r="L23" s="50"/>
      <c r="M23" s="38"/>
      <c r="N23" s="45"/>
      <c r="O23" s="50"/>
      <c r="P23" s="45"/>
      <c r="Q23" s="50"/>
      <c r="R23" s="45"/>
      <c r="S23" s="50"/>
      <c r="T23" s="45"/>
      <c r="U23" s="39"/>
      <c r="V23" s="40"/>
      <c r="W23" s="41"/>
      <c r="X23" s="41"/>
      <c r="Y23" s="46"/>
    </row>
    <row r="24" spans="2:25" ht="15.75" thickBot="1" x14ac:dyDescent="0.3">
      <c r="B24" s="51"/>
      <c r="C24" s="52"/>
      <c r="D24" s="52"/>
      <c r="E24" s="53"/>
      <c r="F24" s="54">
        <f>SUM(F12:F23)</f>
        <v>43</v>
      </c>
      <c r="G24" s="55">
        <f t="shared" ref="G24:L24" si="0">SUM(G12:G23)</f>
        <v>15.583333333333332</v>
      </c>
      <c r="H24" s="55">
        <f t="shared" si="0"/>
        <v>0</v>
      </c>
      <c r="I24" s="55">
        <f t="shared" si="0"/>
        <v>6</v>
      </c>
      <c r="J24" s="55">
        <f t="shared" si="0"/>
        <v>0</v>
      </c>
      <c r="K24" s="55">
        <f t="shared" si="0"/>
        <v>0</v>
      </c>
      <c r="L24" s="56">
        <f t="shared" si="0"/>
        <v>2.6362499999999995</v>
      </c>
      <c r="M24" s="57">
        <f>SUM(F24:L24)</f>
        <v>67.219583333333333</v>
      </c>
      <c r="N24" s="58">
        <f>SUM(N12:N23)</f>
        <v>8.7916666666666661</v>
      </c>
      <c r="O24" s="56">
        <f>SUM(O13:O23)</f>
        <v>2.5</v>
      </c>
      <c r="P24" s="56">
        <f t="shared" ref="P24:T24" si="1">SUM(P13:P23)</f>
        <v>8.9700000000000006</v>
      </c>
      <c r="Q24" s="56">
        <f t="shared" si="1"/>
        <v>0</v>
      </c>
      <c r="R24" s="88">
        <f t="shared" si="1"/>
        <v>2.5</v>
      </c>
      <c r="S24" s="56">
        <f t="shared" si="1"/>
        <v>0.5</v>
      </c>
      <c r="T24" s="56">
        <f t="shared" si="1"/>
        <v>1.2</v>
      </c>
      <c r="U24" s="59">
        <f>SUM(N24:T24)</f>
        <v>24.461666666666666</v>
      </c>
      <c r="V24" s="60">
        <f>M24+U24</f>
        <v>91.681250000000006</v>
      </c>
      <c r="W24" s="61">
        <f>SUM(W12:W23)</f>
        <v>10.084937500000002</v>
      </c>
      <c r="X24" s="61">
        <f>SUM(X13:X23)</f>
        <v>0.50883093749999997</v>
      </c>
      <c r="Y24" s="62">
        <f>SUM(V24:X24)</f>
        <v>102.27501843749999</v>
      </c>
    </row>
    <row r="25" spans="2:25" x14ac:dyDescent="0.25">
      <c r="B25" s="17"/>
      <c r="C25" s="17"/>
      <c r="D25" s="17"/>
      <c r="E25" s="17"/>
      <c r="F25" s="36"/>
      <c r="G25" s="36"/>
      <c r="H25" s="36"/>
      <c r="I25" s="36"/>
      <c r="J25" s="36"/>
      <c r="K25" s="36"/>
      <c r="L25" s="36"/>
      <c r="M25" s="63">
        <f>M24/Y24</f>
        <v>0.65724342425233639</v>
      </c>
      <c r="N25" s="36"/>
      <c r="O25" s="36"/>
      <c r="P25" s="36"/>
      <c r="Q25" s="36"/>
      <c r="R25" s="36"/>
      <c r="S25" s="36"/>
      <c r="T25" s="36"/>
      <c r="U25" s="64"/>
      <c r="V25" s="36"/>
      <c r="W25" s="91">
        <f>W24/V24</f>
        <v>0.11000000000000001</v>
      </c>
      <c r="X25" s="91">
        <f>X24/(V24+W24)</f>
        <v>4.9999999999999992E-3</v>
      </c>
      <c r="Y25" s="65"/>
    </row>
    <row r="27" spans="2:25" x14ac:dyDescent="0.25">
      <c r="T27" s="66" t="s">
        <v>27</v>
      </c>
      <c r="U27" s="66"/>
      <c r="V27" s="66"/>
    </row>
    <row r="28" spans="2:25" x14ac:dyDescent="0.25">
      <c r="B28" t="s">
        <v>28</v>
      </c>
      <c r="G28" s="67">
        <v>0.15</v>
      </c>
      <c r="H28" s="68"/>
      <c r="J28" s="67">
        <v>0.1</v>
      </c>
      <c r="K28" s="68"/>
      <c r="M28" s="89">
        <v>0.05</v>
      </c>
      <c r="N28" s="68"/>
      <c r="P28" s="89">
        <v>2.5000000000000001E-2</v>
      </c>
      <c r="T28" s="66" t="s">
        <v>43</v>
      </c>
      <c r="U28" s="66"/>
      <c r="V28" s="66">
        <f>(750*1*W28)+(650*3*W28)</f>
        <v>6750</v>
      </c>
      <c r="W28">
        <f>(G6*5*1)/(2000*2)</f>
        <v>2.5</v>
      </c>
      <c r="Y28" t="s">
        <v>44</v>
      </c>
    </row>
    <row r="29" spans="2:25" x14ac:dyDescent="0.25">
      <c r="T29" s="66" t="s">
        <v>45</v>
      </c>
      <c r="U29" s="66"/>
      <c r="V29" s="66">
        <f>(750*1*W29)+(650*3*W29)</f>
        <v>675</v>
      </c>
      <c r="W29">
        <f>G6/(10*800)</f>
        <v>0.25</v>
      </c>
      <c r="Y29" t="s">
        <v>44</v>
      </c>
    </row>
    <row r="30" spans="2:25" x14ac:dyDescent="0.25">
      <c r="J30" s="69"/>
      <c r="M30" s="69"/>
      <c r="P30" s="69"/>
      <c r="T30" s="70" t="s">
        <v>46</v>
      </c>
      <c r="V30" s="66">
        <f>(750*1*W30)</f>
        <v>750</v>
      </c>
      <c r="W30">
        <f>G6*5/(10*1000)</f>
        <v>1</v>
      </c>
      <c r="Y30" t="s">
        <v>44</v>
      </c>
    </row>
    <row r="31" spans="2:25" s="7" customFormat="1" ht="15.75" thickBot="1" x14ac:dyDescent="0.3">
      <c r="B31" s="7" t="s">
        <v>29</v>
      </c>
      <c r="G31" s="71">
        <f>Y24*G28+Y24</f>
        <v>117.616271203125</v>
      </c>
      <c r="J31" s="71">
        <f>Y24*J28+Y24</f>
        <v>112.50252028125</v>
      </c>
      <c r="M31" s="71">
        <f>Y24*M28+Y24</f>
        <v>107.38876935937499</v>
      </c>
      <c r="P31" s="71">
        <f>Y24*P28+Y24</f>
        <v>104.8318938984375</v>
      </c>
      <c r="V31" s="72">
        <f>SUM(V28:V30)</f>
        <v>8175</v>
      </c>
      <c r="W31" s="7">
        <f>V31/G6</f>
        <v>4.0875000000000004</v>
      </c>
    </row>
    <row r="32" spans="2:25" ht="15.75" thickTop="1" x14ac:dyDescent="0.25">
      <c r="G32" s="69"/>
      <c r="J32" s="69"/>
      <c r="M32" s="69"/>
      <c r="P32" s="69"/>
    </row>
    <row r="33" spans="2:17" x14ac:dyDescent="0.25">
      <c r="B33" t="s">
        <v>30</v>
      </c>
      <c r="G33" s="69">
        <f>G31-V24</f>
        <v>25.93502120312499</v>
      </c>
      <c r="H33" s="73">
        <f>G33/G31</f>
        <v>0.22050538533341899</v>
      </c>
      <c r="J33" s="69">
        <f>J31-V24</f>
        <v>20.821270281249994</v>
      </c>
      <c r="K33" s="73">
        <f>J33/J31</f>
        <v>0.18507381193948352</v>
      </c>
      <c r="M33" s="69">
        <f>M31-V24</f>
        <v>15.707519359374984</v>
      </c>
      <c r="N33" s="73">
        <f>M33/M31</f>
        <v>0.14626780298422076</v>
      </c>
      <c r="P33" s="69">
        <f>P31-V24</f>
        <v>13.150643898437494</v>
      </c>
      <c r="Q33" s="73">
        <f>P33/P31</f>
        <v>0.12544506647164086</v>
      </c>
    </row>
    <row r="34" spans="2:17" x14ac:dyDescent="0.25">
      <c r="G34" s="69"/>
      <c r="H34" s="73"/>
      <c r="J34" s="69"/>
      <c r="K34" s="73"/>
      <c r="M34" s="69"/>
      <c r="N34" s="73"/>
      <c r="P34" s="69"/>
      <c r="Q34" s="73"/>
    </row>
    <row r="35" spans="2:17" x14ac:dyDescent="0.25">
      <c r="B35" t="s">
        <v>8</v>
      </c>
      <c r="G35" s="69">
        <f>-W24</f>
        <v>-10.084937500000002</v>
      </c>
      <c r="H35" s="73"/>
      <c r="J35" s="69">
        <f>-W24</f>
        <v>-10.084937500000002</v>
      </c>
      <c r="K35" s="73"/>
      <c r="M35" s="69">
        <f>-W24</f>
        <v>-10.084937500000002</v>
      </c>
      <c r="N35" s="73"/>
      <c r="P35" s="69">
        <f>-W24</f>
        <v>-10.084937500000002</v>
      </c>
      <c r="Q35" s="73"/>
    </row>
    <row r="36" spans="2:17" x14ac:dyDescent="0.25">
      <c r="G36" s="69"/>
      <c r="H36" s="73"/>
      <c r="J36" s="69"/>
      <c r="K36" s="73"/>
      <c r="M36" s="69"/>
      <c r="N36" s="73"/>
      <c r="P36" s="69"/>
      <c r="Q36" s="73"/>
    </row>
    <row r="37" spans="2:17" s="7" customFormat="1" ht="15.75" thickBot="1" x14ac:dyDescent="0.3">
      <c r="B37" s="7" t="s">
        <v>31</v>
      </c>
      <c r="G37" s="74">
        <f>SUM(G33:G36)</f>
        <v>15.850083703124987</v>
      </c>
      <c r="H37" s="75">
        <f>G37/G31</f>
        <v>0.13476097772009507</v>
      </c>
      <c r="J37" s="74">
        <f>SUM(J33:J36)</f>
        <v>10.736332781249992</v>
      </c>
      <c r="K37" s="75">
        <f>J37/J31</f>
        <v>9.5431931252826702E-2</v>
      </c>
      <c r="M37" s="74">
        <f>SUM(M33:M36)</f>
        <v>5.6225818593749821</v>
      </c>
      <c r="N37" s="75">
        <f>M37/M31</f>
        <v>5.2357261312485033E-2</v>
      </c>
      <c r="P37" s="74">
        <f>SUM(P33:P36)</f>
        <v>3.0657063984374915</v>
      </c>
      <c r="Q37" s="75">
        <f>P37/P31</f>
        <v>2.9244023783521336E-2</v>
      </c>
    </row>
    <row r="38" spans="2:17" s="76" customFormat="1" ht="15.75" thickTop="1" x14ac:dyDescent="0.25">
      <c r="G38" s="77"/>
      <c r="H38" s="78"/>
      <c r="J38" s="77"/>
      <c r="K38" s="78"/>
      <c r="M38" s="77"/>
      <c r="N38" s="78"/>
      <c r="P38" s="77"/>
      <c r="Q38" s="78"/>
    </row>
    <row r="40" spans="2:17" x14ac:dyDescent="0.25">
      <c r="G40" s="79" t="s">
        <v>32</v>
      </c>
      <c r="H40" s="79"/>
      <c r="I40" s="79"/>
      <c r="J40" s="79" t="s">
        <v>32</v>
      </c>
      <c r="K40" s="79"/>
      <c r="L40" s="79"/>
      <c r="M40" s="79" t="s">
        <v>32</v>
      </c>
      <c r="N40" s="79"/>
      <c r="O40" s="79"/>
      <c r="P40" s="79" t="s">
        <v>32</v>
      </c>
    </row>
    <row r="41" spans="2:17" x14ac:dyDescent="0.25">
      <c r="B41" t="s">
        <v>33</v>
      </c>
      <c r="G41" s="69">
        <f>G31*G6</f>
        <v>235232.54240625</v>
      </c>
      <c r="H41" s="69"/>
      <c r="I41" s="69"/>
      <c r="J41" s="69">
        <f>J31*G6</f>
        <v>225005.04056250001</v>
      </c>
      <c r="K41" s="69"/>
      <c r="L41" s="69"/>
      <c r="M41" s="69">
        <f>M31*G6</f>
        <v>214777.53871874997</v>
      </c>
      <c r="N41" s="69"/>
      <c r="O41" s="69"/>
      <c r="P41" s="69">
        <f>P31*G6</f>
        <v>209663.787796875</v>
      </c>
    </row>
    <row r="43" spans="2:17" x14ac:dyDescent="0.25">
      <c r="B43" t="s">
        <v>31</v>
      </c>
      <c r="G43" s="80">
        <f>G37*G6</f>
        <v>31700.167406249973</v>
      </c>
      <c r="J43" s="80">
        <f>J37*G6</f>
        <v>21472.665562499984</v>
      </c>
      <c r="M43" s="80">
        <f>M37*G6</f>
        <v>11245.163718749964</v>
      </c>
      <c r="P43" s="80">
        <f>P37*G6</f>
        <v>6131.4127968749826</v>
      </c>
    </row>
    <row r="45" spans="2:17" x14ac:dyDescent="0.25">
      <c r="B45" t="s">
        <v>47</v>
      </c>
    </row>
    <row r="46" spans="2:17" ht="18.75" x14ac:dyDescent="0.3">
      <c r="B46" t="s">
        <v>35</v>
      </c>
      <c r="L46" t="s">
        <v>39</v>
      </c>
      <c r="N46" s="85"/>
      <c r="P46" s="86"/>
    </row>
    <row r="48" spans="2:17" x14ac:dyDescent="0.25">
      <c r="L48" t="s">
        <v>48</v>
      </c>
    </row>
    <row r="49" spans="2:12" x14ac:dyDescent="0.25">
      <c r="B49" t="s">
        <v>36</v>
      </c>
      <c r="F49" t="s">
        <v>37</v>
      </c>
      <c r="H49" s="87" t="s">
        <v>51</v>
      </c>
      <c r="J49" t="s">
        <v>38</v>
      </c>
    </row>
    <row r="50" spans="2:12" x14ac:dyDescent="0.25">
      <c r="B50" t="s">
        <v>40</v>
      </c>
      <c r="F50" t="s">
        <v>41</v>
      </c>
      <c r="H50" s="87" t="s">
        <v>50</v>
      </c>
      <c r="J50" t="s">
        <v>42</v>
      </c>
      <c r="L50" t="s">
        <v>49</v>
      </c>
    </row>
  </sheetData>
  <mergeCells count="11">
    <mergeCell ref="B11:E11"/>
    <mergeCell ref="T4:V5"/>
    <mergeCell ref="G6:I6"/>
    <mergeCell ref="F8:Y8"/>
    <mergeCell ref="F10:K10"/>
    <mergeCell ref="M10:M11"/>
    <mergeCell ref="N10:T10"/>
    <mergeCell ref="V10:V11"/>
    <mergeCell ref="W10:W11"/>
    <mergeCell ref="X10:X11"/>
    <mergeCell ref="Y10:Y11"/>
  </mergeCells>
  <pageMargins left="0.43" right="0.7" top="0.28000000000000003" bottom="0.45" header="0.3" footer="0.3"/>
  <pageSetup scale="5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50"/>
  <sheetViews>
    <sheetView tabSelected="1" workbookViewId="0">
      <selection activeCell="F4" sqref="F4"/>
    </sheetView>
  </sheetViews>
  <sheetFormatPr defaultRowHeight="15" x14ac:dyDescent="0.25"/>
  <cols>
    <col min="1" max="1" width="1" customWidth="1"/>
    <col min="2" max="2" width="5" customWidth="1"/>
    <col min="3" max="3" width="1.85546875" customWidth="1"/>
    <col min="4" max="4" width="3" customWidth="1"/>
    <col min="5" max="5" width="6.140625" customWidth="1"/>
    <col min="6" max="6" width="8.28515625" customWidth="1"/>
    <col min="7" max="7" width="13.28515625" bestFit="1" customWidth="1"/>
    <col min="8" max="8" width="8" customWidth="1"/>
    <col min="9" max="9" width="7.85546875" customWidth="1"/>
    <col min="10" max="10" width="14.28515625" customWidth="1"/>
    <col min="12" max="12" width="7.5703125" customWidth="1"/>
    <col min="13" max="13" width="14.28515625" customWidth="1"/>
    <col min="15" max="15" width="9.5703125" bestFit="1" customWidth="1"/>
    <col min="16" max="16" width="14.140625" customWidth="1"/>
    <col min="17" max="17" width="7.85546875" customWidth="1"/>
    <col min="20" max="20" width="11.7109375" customWidth="1"/>
    <col min="21" max="21" width="7.85546875" customWidth="1"/>
    <col min="23" max="24" width="8" customWidth="1"/>
    <col min="25" max="25" width="9" customWidth="1"/>
  </cols>
  <sheetData>
    <row r="1" spans="2:25" x14ac:dyDescent="0.25">
      <c r="Y1" s="1"/>
    </row>
    <row r="2" spans="2:25" x14ac:dyDescent="0.25">
      <c r="T2" s="3"/>
      <c r="U2" s="3"/>
      <c r="V2" s="2" t="s">
        <v>0</v>
      </c>
      <c r="W2" s="2" t="s">
        <v>58</v>
      </c>
      <c r="X2" s="2"/>
      <c r="Y2" s="1"/>
    </row>
    <row r="3" spans="2:25" x14ac:dyDescent="0.25">
      <c r="V3" s="7"/>
      <c r="W3" s="7"/>
      <c r="X3" s="7"/>
    </row>
    <row r="4" spans="2:25" ht="23.25" customHeight="1" x14ac:dyDescent="0.4">
      <c r="F4" s="4" t="s">
        <v>1</v>
      </c>
      <c r="G4" s="5"/>
      <c r="H4" s="6" t="s">
        <v>55</v>
      </c>
      <c r="S4" s="81"/>
      <c r="T4" s="96"/>
      <c r="U4" s="96"/>
      <c r="V4" s="96"/>
      <c r="W4" s="81"/>
      <c r="X4" s="81"/>
      <c r="Y4" s="81"/>
    </row>
    <row r="5" spans="2:25" ht="18" customHeight="1" x14ac:dyDescent="0.4">
      <c r="F5" s="4"/>
      <c r="G5" s="5"/>
      <c r="S5" s="81"/>
      <c r="T5" s="96"/>
      <c r="U5" s="96"/>
      <c r="V5" s="96"/>
      <c r="W5" s="81"/>
      <c r="X5" s="81"/>
      <c r="Y5" s="81"/>
    </row>
    <row r="6" spans="2:25" ht="18" x14ac:dyDescent="0.25">
      <c r="F6" s="4" t="s">
        <v>2</v>
      </c>
      <c r="G6" s="97">
        <v>3000</v>
      </c>
      <c r="H6" s="97"/>
      <c r="I6" s="97"/>
    </row>
    <row r="7" spans="2:25" ht="15.75" thickBot="1" x14ac:dyDescent="0.3"/>
    <row r="8" spans="2:25" ht="16.5" thickBot="1" x14ac:dyDescent="0.3">
      <c r="F8" s="98" t="s">
        <v>60</v>
      </c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100"/>
    </row>
    <row r="9" spans="2:25" ht="15.75" thickBot="1" x14ac:dyDescent="0.3"/>
    <row r="10" spans="2:25" s="7" customFormat="1" ht="16.5" customHeight="1" thickBot="1" x14ac:dyDescent="0.3">
      <c r="F10" s="101" t="s">
        <v>3</v>
      </c>
      <c r="G10" s="102"/>
      <c r="H10" s="102"/>
      <c r="I10" s="102"/>
      <c r="J10" s="102"/>
      <c r="K10" s="103"/>
      <c r="L10" s="8" t="s">
        <v>4</v>
      </c>
      <c r="M10" s="104" t="s">
        <v>5</v>
      </c>
      <c r="N10" s="102" t="s">
        <v>6</v>
      </c>
      <c r="O10" s="102"/>
      <c r="P10" s="102"/>
      <c r="Q10" s="102"/>
      <c r="R10" s="102"/>
      <c r="S10" s="102"/>
      <c r="T10" s="102"/>
      <c r="U10" s="9"/>
      <c r="V10" s="106" t="s">
        <v>7</v>
      </c>
      <c r="W10" s="108" t="s">
        <v>8</v>
      </c>
      <c r="X10" s="108" t="s">
        <v>53</v>
      </c>
      <c r="Y10" s="110" t="s">
        <v>9</v>
      </c>
    </row>
    <row r="11" spans="2:25" s="15" customFormat="1" ht="51" customHeight="1" x14ac:dyDescent="0.2">
      <c r="B11" s="93" t="s">
        <v>10</v>
      </c>
      <c r="C11" s="94"/>
      <c r="D11" s="94"/>
      <c r="E11" s="95"/>
      <c r="F11" s="10" t="s">
        <v>11</v>
      </c>
      <c r="G11" s="11" t="s">
        <v>12</v>
      </c>
      <c r="H11" s="12" t="s">
        <v>52</v>
      </c>
      <c r="I11" s="11" t="s">
        <v>54</v>
      </c>
      <c r="J11" s="12" t="s">
        <v>13</v>
      </c>
      <c r="K11" s="11" t="s">
        <v>14</v>
      </c>
      <c r="L11" s="13">
        <v>4.4999999999999998E-2</v>
      </c>
      <c r="M11" s="105"/>
      <c r="N11" s="11" t="s">
        <v>15</v>
      </c>
      <c r="O11" s="12" t="s">
        <v>16</v>
      </c>
      <c r="P11" s="11" t="s">
        <v>17</v>
      </c>
      <c r="Q11" s="12" t="s">
        <v>18</v>
      </c>
      <c r="R11" s="11" t="s">
        <v>56</v>
      </c>
      <c r="S11" s="12" t="s">
        <v>19</v>
      </c>
      <c r="T11" s="11" t="s">
        <v>34</v>
      </c>
      <c r="U11" s="14" t="s">
        <v>20</v>
      </c>
      <c r="V11" s="107"/>
      <c r="W11" s="109"/>
      <c r="X11" s="109"/>
      <c r="Y11" s="111"/>
    </row>
    <row r="12" spans="2:25" x14ac:dyDescent="0.25">
      <c r="B12" s="16"/>
      <c r="C12" s="17"/>
      <c r="D12" s="17"/>
      <c r="E12" s="18"/>
      <c r="F12" s="19"/>
      <c r="G12" s="20"/>
      <c r="H12" s="21"/>
      <c r="I12" s="20"/>
      <c r="J12" s="21"/>
      <c r="K12" s="20"/>
      <c r="L12" s="21"/>
      <c r="M12" s="22"/>
      <c r="N12" s="82"/>
      <c r="O12" s="83">
        <f>O13*G6</f>
        <v>7500</v>
      </c>
      <c r="P12" s="84"/>
      <c r="Q12" s="83"/>
      <c r="R12" s="84"/>
      <c r="S12" s="83">
        <f>S13*G6</f>
        <v>1500</v>
      </c>
      <c r="T12" s="84">
        <f>T13*G6</f>
        <v>3600</v>
      </c>
      <c r="U12" s="23"/>
      <c r="V12" s="24"/>
      <c r="W12" s="25"/>
      <c r="X12" s="25"/>
      <c r="Y12" s="26"/>
    </row>
    <row r="13" spans="2:25" x14ac:dyDescent="0.25">
      <c r="B13" s="16" t="s">
        <v>21</v>
      </c>
      <c r="C13" s="17"/>
      <c r="D13" s="17"/>
      <c r="E13" s="18"/>
      <c r="F13" s="27">
        <f>430/10</f>
        <v>43</v>
      </c>
      <c r="G13" s="28">
        <f>(B17*D17)/144*5*1.2</f>
        <v>15.583333333333332</v>
      </c>
      <c r="H13" s="29">
        <v>0</v>
      </c>
      <c r="I13" s="28">
        <f>300/300*6</f>
        <v>6</v>
      </c>
      <c r="J13" s="29">
        <v>0</v>
      </c>
      <c r="K13" s="28">
        <v>0</v>
      </c>
      <c r="L13" s="29">
        <f>(F24+G24)*L11</f>
        <v>2.6362499999999995</v>
      </c>
      <c r="M13" s="30">
        <f>SUM(F13:L13)</f>
        <v>67.219583333333333</v>
      </c>
      <c r="N13" s="28">
        <f>4+(2.5/60*115)</f>
        <v>8.7916666666666661</v>
      </c>
      <c r="O13" s="29">
        <f>W28*2000/G6</f>
        <v>2.5</v>
      </c>
      <c r="P13" s="28">
        <f>(46*19.5*2*5*2)/G6</f>
        <v>5.98</v>
      </c>
      <c r="Q13" s="29">
        <v>0</v>
      </c>
      <c r="R13" s="28">
        <v>2.5</v>
      </c>
      <c r="S13" s="29">
        <v>0.5</v>
      </c>
      <c r="T13" s="28">
        <v>1.2</v>
      </c>
      <c r="U13" s="31">
        <f>SUM(N13:T13)</f>
        <v>21.471666666666668</v>
      </c>
      <c r="V13" s="32">
        <f>SUM(U13,M13)</f>
        <v>88.691249999999997</v>
      </c>
      <c r="W13" s="33">
        <f>V13*1.1*0.1</f>
        <v>9.7560375000000015</v>
      </c>
      <c r="X13" s="92">
        <f>(V13+W13)*0.5%</f>
        <v>0.49223643750000001</v>
      </c>
      <c r="Y13" s="34">
        <f>SUM(V13:X13)</f>
        <v>98.939523937499999</v>
      </c>
    </row>
    <row r="14" spans="2:25" x14ac:dyDescent="0.25">
      <c r="B14" s="16" t="s">
        <v>22</v>
      </c>
      <c r="C14" s="17"/>
      <c r="D14" s="17"/>
      <c r="E14" s="18"/>
      <c r="F14" s="35"/>
      <c r="G14" s="36"/>
      <c r="H14" s="37"/>
      <c r="I14" s="36"/>
      <c r="J14" s="37"/>
      <c r="K14" s="36"/>
      <c r="L14" s="37"/>
      <c r="M14" s="38"/>
      <c r="N14" s="36"/>
      <c r="O14" s="37"/>
      <c r="P14" s="36"/>
      <c r="Q14" s="37"/>
      <c r="R14" s="36"/>
      <c r="S14" s="37"/>
      <c r="T14" s="36"/>
      <c r="U14" s="39"/>
      <c r="V14" s="40"/>
      <c r="W14" s="41"/>
      <c r="X14" s="41"/>
      <c r="Y14" s="90"/>
    </row>
    <row r="15" spans="2:25" x14ac:dyDescent="0.25">
      <c r="B15" s="16" t="s">
        <v>57</v>
      </c>
      <c r="C15" s="17"/>
      <c r="D15" s="17"/>
      <c r="E15" s="18"/>
      <c r="F15" s="35"/>
      <c r="G15" s="36"/>
      <c r="H15" s="37"/>
      <c r="I15" s="36"/>
      <c r="J15" s="37"/>
      <c r="K15" s="36"/>
      <c r="L15" s="37"/>
      <c r="M15" s="38"/>
      <c r="N15" s="36"/>
      <c r="O15" s="37"/>
      <c r="P15" s="36"/>
      <c r="Q15" s="37"/>
      <c r="R15" s="36"/>
      <c r="S15" s="37"/>
      <c r="T15" s="36"/>
      <c r="U15" s="39"/>
      <c r="V15" s="40"/>
      <c r="W15" s="41"/>
      <c r="X15" s="41"/>
      <c r="Y15" s="46"/>
    </row>
    <row r="16" spans="2:25" x14ac:dyDescent="0.25">
      <c r="B16" s="42" t="s">
        <v>23</v>
      </c>
      <c r="C16" s="43"/>
      <c r="D16" s="43"/>
      <c r="E16" s="44"/>
      <c r="F16" s="35"/>
      <c r="G16" s="45"/>
      <c r="H16" s="37"/>
      <c r="I16" s="45"/>
      <c r="J16" s="37"/>
      <c r="K16" s="45"/>
      <c r="L16" s="37"/>
      <c r="M16" s="38"/>
      <c r="N16" s="45"/>
      <c r="O16" s="37"/>
      <c r="P16" s="45"/>
      <c r="Q16" s="37"/>
      <c r="R16" s="45"/>
      <c r="S16" s="37"/>
      <c r="T16" s="45"/>
      <c r="U16" s="39"/>
      <c r="V16" s="40"/>
      <c r="W16" s="41"/>
      <c r="X16" s="41"/>
      <c r="Y16" s="46"/>
    </row>
    <row r="17" spans="2:25" x14ac:dyDescent="0.25">
      <c r="B17" s="16">
        <v>17</v>
      </c>
      <c r="C17" s="17" t="s">
        <v>24</v>
      </c>
      <c r="D17" s="17">
        <v>22</v>
      </c>
      <c r="E17" s="18"/>
      <c r="F17" s="35"/>
      <c r="G17" s="45"/>
      <c r="H17" s="37"/>
      <c r="I17" s="45"/>
      <c r="J17" s="37"/>
      <c r="K17" s="45"/>
      <c r="L17" s="37"/>
      <c r="M17" s="38"/>
      <c r="N17" s="45"/>
      <c r="O17" s="37"/>
      <c r="P17" s="45"/>
      <c r="Q17" s="37"/>
      <c r="R17" s="45"/>
      <c r="S17" s="37"/>
      <c r="T17" s="45"/>
      <c r="U17" s="39"/>
      <c r="V17" s="40"/>
      <c r="W17" s="41"/>
      <c r="X17" s="41"/>
      <c r="Y17" s="46"/>
    </row>
    <row r="18" spans="2:25" x14ac:dyDescent="0.25">
      <c r="B18" s="16"/>
      <c r="C18" s="17"/>
      <c r="D18" s="17"/>
      <c r="E18" s="18"/>
      <c r="F18" s="35"/>
      <c r="G18" s="45"/>
      <c r="H18" s="37"/>
      <c r="I18" s="45"/>
      <c r="J18" s="37"/>
      <c r="K18" s="45"/>
      <c r="L18" s="37"/>
      <c r="M18" s="38"/>
      <c r="N18" s="45"/>
      <c r="O18" s="37"/>
      <c r="P18" s="45"/>
      <c r="Q18" s="37"/>
      <c r="R18" s="45"/>
      <c r="S18" s="37"/>
      <c r="T18" s="45"/>
      <c r="U18" s="39"/>
      <c r="V18" s="40"/>
      <c r="W18" s="41"/>
      <c r="X18" s="41"/>
      <c r="Y18" s="46"/>
    </row>
    <row r="19" spans="2:25" x14ac:dyDescent="0.25">
      <c r="B19" s="42" t="s">
        <v>25</v>
      </c>
      <c r="C19" s="43"/>
      <c r="D19" s="43"/>
      <c r="E19" s="44"/>
      <c r="F19" s="35"/>
      <c r="G19" s="45"/>
      <c r="H19" s="37"/>
      <c r="I19" s="45"/>
      <c r="J19" s="37"/>
      <c r="K19" s="45"/>
      <c r="L19" s="37"/>
      <c r="M19" s="38"/>
      <c r="N19" s="45"/>
      <c r="O19" s="37"/>
      <c r="P19" s="45"/>
      <c r="Q19" s="37"/>
      <c r="R19" s="45"/>
      <c r="S19" s="37"/>
      <c r="T19" s="45"/>
      <c r="U19" s="39"/>
      <c r="V19" s="40"/>
      <c r="W19" s="41"/>
      <c r="X19" s="41"/>
      <c r="Y19" s="46"/>
    </row>
    <row r="20" spans="2:25" x14ac:dyDescent="0.25">
      <c r="B20" s="16" t="s">
        <v>26</v>
      </c>
      <c r="C20" s="47"/>
      <c r="D20" s="47"/>
      <c r="E20" s="48"/>
      <c r="F20" s="35"/>
      <c r="G20" s="45"/>
      <c r="H20" s="37"/>
      <c r="I20" s="45"/>
      <c r="J20" s="37"/>
      <c r="K20" s="45"/>
      <c r="L20" s="37"/>
      <c r="M20" s="38"/>
      <c r="N20" s="45"/>
      <c r="O20" s="37"/>
      <c r="P20" s="45"/>
      <c r="Q20" s="37"/>
      <c r="R20" s="45"/>
      <c r="S20" s="37"/>
      <c r="T20" s="45"/>
      <c r="U20" s="39"/>
      <c r="V20" s="40"/>
      <c r="W20" s="41"/>
      <c r="X20" s="41"/>
      <c r="Y20" s="46"/>
    </row>
    <row r="21" spans="2:25" x14ac:dyDescent="0.25">
      <c r="B21" s="16"/>
      <c r="C21" s="17"/>
      <c r="D21" s="17"/>
      <c r="E21" s="18"/>
      <c r="F21" s="35"/>
      <c r="G21" s="45"/>
      <c r="H21" s="37"/>
      <c r="I21" s="45"/>
      <c r="J21" s="37"/>
      <c r="K21" s="45"/>
      <c r="L21" s="37"/>
      <c r="M21" s="38"/>
      <c r="N21" s="45"/>
      <c r="O21" s="37"/>
      <c r="P21" s="45"/>
      <c r="Q21" s="37"/>
      <c r="R21" s="45"/>
      <c r="S21" s="37"/>
      <c r="T21" s="45"/>
      <c r="U21" s="39"/>
      <c r="V21" s="40"/>
      <c r="W21" s="41"/>
      <c r="X21" s="41"/>
      <c r="Y21" s="46"/>
    </row>
    <row r="22" spans="2:25" x14ac:dyDescent="0.25">
      <c r="B22" s="16"/>
      <c r="C22" s="17"/>
      <c r="D22" s="17"/>
      <c r="E22" s="18"/>
      <c r="F22" s="35"/>
      <c r="G22" s="45"/>
      <c r="H22" s="37"/>
      <c r="I22" s="45"/>
      <c r="J22" s="37"/>
      <c r="K22" s="45"/>
      <c r="L22" s="37"/>
      <c r="M22" s="38"/>
      <c r="N22" s="45"/>
      <c r="O22" s="37"/>
      <c r="P22" s="45"/>
      <c r="Q22" s="37"/>
      <c r="R22" s="45"/>
      <c r="S22" s="37"/>
      <c r="T22" s="45"/>
      <c r="U22" s="39"/>
      <c r="V22" s="40"/>
      <c r="W22" s="41"/>
      <c r="X22" s="41"/>
      <c r="Y22" s="46"/>
    </row>
    <row r="23" spans="2:25" x14ac:dyDescent="0.25">
      <c r="B23" s="16"/>
      <c r="C23" s="17"/>
      <c r="D23" s="17"/>
      <c r="E23" s="18"/>
      <c r="F23" s="49"/>
      <c r="G23" s="45"/>
      <c r="H23" s="50"/>
      <c r="I23" s="45"/>
      <c r="J23" s="50"/>
      <c r="K23" s="45"/>
      <c r="L23" s="50"/>
      <c r="M23" s="38"/>
      <c r="N23" s="45"/>
      <c r="O23" s="50"/>
      <c r="P23" s="45"/>
      <c r="Q23" s="50"/>
      <c r="R23" s="45"/>
      <c r="S23" s="50"/>
      <c r="T23" s="45"/>
      <c r="U23" s="39"/>
      <c r="V23" s="40"/>
      <c r="W23" s="41"/>
      <c r="X23" s="41"/>
      <c r="Y23" s="46"/>
    </row>
    <row r="24" spans="2:25" ht="15.75" thickBot="1" x14ac:dyDescent="0.3">
      <c r="B24" s="51"/>
      <c r="C24" s="52"/>
      <c r="D24" s="52"/>
      <c r="E24" s="53"/>
      <c r="F24" s="54">
        <f>SUM(F12:F23)</f>
        <v>43</v>
      </c>
      <c r="G24" s="55">
        <f t="shared" ref="G24:L24" si="0">SUM(G12:G23)</f>
        <v>15.583333333333332</v>
      </c>
      <c r="H24" s="55">
        <f t="shared" si="0"/>
        <v>0</v>
      </c>
      <c r="I24" s="55">
        <f t="shared" si="0"/>
        <v>6</v>
      </c>
      <c r="J24" s="55">
        <f t="shared" si="0"/>
        <v>0</v>
      </c>
      <c r="K24" s="55">
        <f t="shared" si="0"/>
        <v>0</v>
      </c>
      <c r="L24" s="56">
        <f t="shared" si="0"/>
        <v>2.6362499999999995</v>
      </c>
      <c r="M24" s="57">
        <f>SUM(F24:L24)</f>
        <v>67.219583333333333</v>
      </c>
      <c r="N24" s="58">
        <f>SUM(N12:N23)</f>
        <v>8.7916666666666661</v>
      </c>
      <c r="O24" s="56">
        <f>SUM(O13:O23)</f>
        <v>2.5</v>
      </c>
      <c r="P24" s="56">
        <f t="shared" ref="P24:T24" si="1">SUM(P13:P23)</f>
        <v>5.98</v>
      </c>
      <c r="Q24" s="56">
        <f t="shared" si="1"/>
        <v>0</v>
      </c>
      <c r="R24" s="88">
        <f t="shared" si="1"/>
        <v>2.5</v>
      </c>
      <c r="S24" s="56">
        <f t="shared" si="1"/>
        <v>0.5</v>
      </c>
      <c r="T24" s="56">
        <f t="shared" si="1"/>
        <v>1.2</v>
      </c>
      <c r="U24" s="59">
        <f>SUM(N24:T24)</f>
        <v>21.471666666666668</v>
      </c>
      <c r="V24" s="60">
        <f>M24+U24</f>
        <v>88.691249999999997</v>
      </c>
      <c r="W24" s="61">
        <f>SUM(W12:W23)</f>
        <v>9.7560375000000015</v>
      </c>
      <c r="X24" s="61">
        <f>SUM(X13:X23)</f>
        <v>0.49223643750000001</v>
      </c>
      <c r="Y24" s="62">
        <f>SUM(V24:X24)</f>
        <v>98.939523937499999</v>
      </c>
    </row>
    <row r="25" spans="2:25" x14ac:dyDescent="0.25">
      <c r="B25" s="17"/>
      <c r="C25" s="17"/>
      <c r="D25" s="17"/>
      <c r="E25" s="17"/>
      <c r="F25" s="36"/>
      <c r="G25" s="36"/>
      <c r="H25" s="36"/>
      <c r="I25" s="36"/>
      <c r="J25" s="36"/>
      <c r="K25" s="36"/>
      <c r="L25" s="36"/>
      <c r="M25" s="63">
        <f>M24/Y24</f>
        <v>0.67940071528741008</v>
      </c>
      <c r="N25" s="36"/>
      <c r="O25" s="36"/>
      <c r="P25" s="36"/>
      <c r="Q25" s="36"/>
      <c r="R25" s="36"/>
      <c r="S25" s="36"/>
      <c r="T25" s="36"/>
      <c r="U25" s="64"/>
      <c r="V25" s="36"/>
      <c r="W25" s="91">
        <f>W24/V24</f>
        <v>0.11000000000000001</v>
      </c>
      <c r="X25" s="91">
        <f>X24/(V24+W24)</f>
        <v>5.0000000000000001E-3</v>
      </c>
      <c r="Y25" s="65"/>
    </row>
    <row r="27" spans="2:25" x14ac:dyDescent="0.25">
      <c r="T27" s="66" t="s">
        <v>27</v>
      </c>
      <c r="U27" s="66"/>
      <c r="V27" s="66"/>
    </row>
    <row r="28" spans="2:25" x14ac:dyDescent="0.25">
      <c r="B28" t="s">
        <v>28</v>
      </c>
      <c r="G28" s="67">
        <v>0.15</v>
      </c>
      <c r="H28" s="68"/>
      <c r="J28" s="67">
        <v>0.1</v>
      </c>
      <c r="K28" s="68"/>
      <c r="M28" s="89">
        <v>0.05</v>
      </c>
      <c r="N28" s="68"/>
      <c r="P28" s="89">
        <v>2.5000000000000001E-2</v>
      </c>
      <c r="T28" s="66" t="s">
        <v>43</v>
      </c>
      <c r="U28" s="66"/>
      <c r="V28" s="66">
        <f>(750*1*W28)+(650*3*W28)</f>
        <v>10125</v>
      </c>
      <c r="W28">
        <f>(G6*5*1)/(2000*2)</f>
        <v>3.75</v>
      </c>
      <c r="Y28" t="s">
        <v>44</v>
      </c>
    </row>
    <row r="29" spans="2:25" x14ac:dyDescent="0.25">
      <c r="T29" s="66" t="s">
        <v>45</v>
      </c>
      <c r="U29" s="66"/>
      <c r="V29" s="66">
        <f>(750*1*W29)+(650*3*W29)</f>
        <v>1012.5</v>
      </c>
      <c r="W29">
        <f>G6/(10*800)</f>
        <v>0.375</v>
      </c>
      <c r="Y29" t="s">
        <v>44</v>
      </c>
    </row>
    <row r="30" spans="2:25" x14ac:dyDescent="0.25">
      <c r="J30" s="69"/>
      <c r="M30" s="69"/>
      <c r="P30" s="69"/>
      <c r="T30" s="70" t="s">
        <v>46</v>
      </c>
      <c r="V30" s="66">
        <f>(750*1*W30)</f>
        <v>1125</v>
      </c>
      <c r="W30">
        <f>G6*5/(10*1000)</f>
        <v>1.5</v>
      </c>
      <c r="Y30" t="s">
        <v>44</v>
      </c>
    </row>
    <row r="31" spans="2:25" s="7" customFormat="1" ht="15.75" thickBot="1" x14ac:dyDescent="0.3">
      <c r="B31" s="7" t="s">
        <v>29</v>
      </c>
      <c r="G31" s="71">
        <f>Y24*G28+Y24</f>
        <v>113.780452528125</v>
      </c>
      <c r="J31" s="71">
        <f>Y24*J28+Y24</f>
        <v>108.83347633125</v>
      </c>
      <c r="M31" s="71">
        <f>Y24*M28+Y24</f>
        <v>103.886500134375</v>
      </c>
      <c r="P31" s="71">
        <f>Y24*P28+Y24</f>
        <v>101.4130120359375</v>
      </c>
      <c r="V31" s="72">
        <f>SUM(V28:V30)</f>
        <v>12262.5</v>
      </c>
      <c r="W31" s="7">
        <f>V31/G6</f>
        <v>4.0875000000000004</v>
      </c>
    </row>
    <row r="32" spans="2:25" ht="15.75" thickTop="1" x14ac:dyDescent="0.25">
      <c r="G32" s="69"/>
      <c r="J32" s="69"/>
      <c r="M32" s="69"/>
      <c r="P32" s="69"/>
    </row>
    <row r="33" spans="2:17" x14ac:dyDescent="0.25">
      <c r="B33" t="s">
        <v>30</v>
      </c>
      <c r="G33" s="69">
        <f>G31-V24</f>
        <v>25.089202528125</v>
      </c>
      <c r="H33" s="73">
        <f>G33/G31</f>
        <v>0.2205053853334191</v>
      </c>
      <c r="J33" s="69">
        <f>J31-V24</f>
        <v>20.142226331250001</v>
      </c>
      <c r="K33" s="73">
        <f>J33/J31</f>
        <v>0.18507381193948358</v>
      </c>
      <c r="M33" s="69">
        <f>M31-V24</f>
        <v>15.195250134375001</v>
      </c>
      <c r="N33" s="73">
        <f>M33/M31</f>
        <v>0.1462678029842209</v>
      </c>
      <c r="P33" s="69">
        <f>P31-V24</f>
        <v>12.721762035937502</v>
      </c>
      <c r="Q33" s="73">
        <f>P33/P31</f>
        <v>0.12544506647164094</v>
      </c>
    </row>
    <row r="34" spans="2:17" x14ac:dyDescent="0.25">
      <c r="G34" s="69"/>
      <c r="H34" s="73"/>
      <c r="J34" s="69"/>
      <c r="K34" s="73"/>
      <c r="M34" s="69"/>
      <c r="N34" s="73"/>
      <c r="P34" s="69"/>
      <c r="Q34" s="73"/>
    </row>
    <row r="35" spans="2:17" x14ac:dyDescent="0.25">
      <c r="B35" t="s">
        <v>8</v>
      </c>
      <c r="G35" s="69">
        <f>-W24</f>
        <v>-9.7560375000000015</v>
      </c>
      <c r="H35" s="73"/>
      <c r="J35" s="69">
        <f>-W24</f>
        <v>-9.7560375000000015</v>
      </c>
      <c r="K35" s="73"/>
      <c r="M35" s="69">
        <f>-W24</f>
        <v>-9.7560375000000015</v>
      </c>
      <c r="N35" s="73"/>
      <c r="P35" s="69">
        <f>-W24</f>
        <v>-9.7560375000000015</v>
      </c>
      <c r="Q35" s="73"/>
    </row>
    <row r="36" spans="2:17" x14ac:dyDescent="0.25">
      <c r="G36" s="69"/>
      <c r="H36" s="73"/>
      <c r="J36" s="69"/>
      <c r="K36" s="73"/>
      <c r="M36" s="69"/>
      <c r="N36" s="73"/>
      <c r="P36" s="69"/>
      <c r="Q36" s="73"/>
    </row>
    <row r="37" spans="2:17" s="7" customFormat="1" ht="15.75" thickBot="1" x14ac:dyDescent="0.3">
      <c r="B37" s="7" t="s">
        <v>31</v>
      </c>
      <c r="G37" s="74">
        <f>SUM(G33:G36)</f>
        <v>15.333165028124998</v>
      </c>
      <c r="H37" s="75">
        <f>G37/G31</f>
        <v>0.13476097772009515</v>
      </c>
      <c r="J37" s="74">
        <f>SUM(J33:J36)</f>
        <v>10.386188831249999</v>
      </c>
      <c r="K37" s="75">
        <f>J37/J31</f>
        <v>9.5431931252826771E-2</v>
      </c>
      <c r="M37" s="74">
        <f>SUM(M33:M36)</f>
        <v>5.439212634375</v>
      </c>
      <c r="N37" s="75">
        <f>M37/M31</f>
        <v>5.2357261312485193E-2</v>
      </c>
      <c r="P37" s="74">
        <f>SUM(P33:P36)</f>
        <v>2.9657245359375004</v>
      </c>
      <c r="Q37" s="75">
        <f>P37/P31</f>
        <v>2.9244023783521422E-2</v>
      </c>
    </row>
    <row r="38" spans="2:17" s="76" customFormat="1" ht="15.75" thickTop="1" x14ac:dyDescent="0.25">
      <c r="G38" s="77"/>
      <c r="H38" s="78"/>
      <c r="J38" s="77"/>
      <c r="K38" s="78"/>
      <c r="M38" s="77"/>
      <c r="N38" s="78"/>
      <c r="P38" s="77"/>
      <c r="Q38" s="78"/>
    </row>
    <row r="40" spans="2:17" x14ac:dyDescent="0.25">
      <c r="G40" s="79" t="s">
        <v>32</v>
      </c>
      <c r="H40" s="79"/>
      <c r="I40" s="79"/>
      <c r="J40" s="79" t="s">
        <v>32</v>
      </c>
      <c r="K40" s="79"/>
      <c r="L40" s="79"/>
      <c r="M40" s="79" t="s">
        <v>32</v>
      </c>
      <c r="N40" s="79"/>
      <c r="O40" s="79"/>
      <c r="P40" s="79" t="s">
        <v>32</v>
      </c>
    </row>
    <row r="41" spans="2:17" x14ac:dyDescent="0.25">
      <c r="B41" t="s">
        <v>33</v>
      </c>
      <c r="G41" s="69">
        <f>G31*G6</f>
        <v>341341.35758437501</v>
      </c>
      <c r="H41" s="69"/>
      <c r="I41" s="69"/>
      <c r="J41" s="69">
        <f>J31*G6</f>
        <v>326500.42899375001</v>
      </c>
      <c r="K41" s="69"/>
      <c r="L41" s="69"/>
      <c r="M41" s="69">
        <f>M31*G6</f>
        <v>311659.50040312501</v>
      </c>
      <c r="N41" s="69"/>
      <c r="O41" s="69"/>
      <c r="P41" s="69">
        <f>P31*G6</f>
        <v>304239.03610781248</v>
      </c>
    </row>
    <row r="43" spans="2:17" x14ac:dyDescent="0.25">
      <c r="B43" t="s">
        <v>31</v>
      </c>
      <c r="G43" s="80">
        <f>G37*G6</f>
        <v>45999.495084374998</v>
      </c>
      <c r="J43" s="80">
        <f>J37*G6</f>
        <v>31158.566493749997</v>
      </c>
      <c r="M43" s="80">
        <f>M37*G6</f>
        <v>16317.637903125</v>
      </c>
      <c r="P43" s="80">
        <f>P37*G6</f>
        <v>8897.1736078125014</v>
      </c>
    </row>
    <row r="45" spans="2:17" x14ac:dyDescent="0.25">
      <c r="B45" t="s">
        <v>47</v>
      </c>
    </row>
    <row r="46" spans="2:17" ht="18.75" x14ac:dyDescent="0.3">
      <c r="B46" t="s">
        <v>35</v>
      </c>
      <c r="L46" t="s">
        <v>39</v>
      </c>
      <c r="N46" s="85"/>
      <c r="P46" s="86"/>
    </row>
    <row r="48" spans="2:17" x14ac:dyDescent="0.25">
      <c r="L48" t="s">
        <v>48</v>
      </c>
    </row>
    <row r="49" spans="2:12" x14ac:dyDescent="0.25">
      <c r="B49" t="s">
        <v>36</v>
      </c>
      <c r="F49" t="s">
        <v>37</v>
      </c>
      <c r="H49" s="87" t="s">
        <v>51</v>
      </c>
      <c r="J49" t="s">
        <v>38</v>
      </c>
    </row>
    <row r="50" spans="2:12" x14ac:dyDescent="0.25">
      <c r="B50" t="s">
        <v>40</v>
      </c>
      <c r="F50" t="s">
        <v>41</v>
      </c>
      <c r="H50" s="87" t="s">
        <v>50</v>
      </c>
      <c r="J50" t="s">
        <v>42</v>
      </c>
      <c r="L50" t="s">
        <v>49</v>
      </c>
    </row>
  </sheetData>
  <mergeCells count="11">
    <mergeCell ref="B11:E11"/>
    <mergeCell ref="T4:V5"/>
    <mergeCell ref="G6:I6"/>
    <mergeCell ref="F8:Y8"/>
    <mergeCell ref="F10:K10"/>
    <mergeCell ref="M10:M11"/>
    <mergeCell ref="N10:T10"/>
    <mergeCell ref="V10:V11"/>
    <mergeCell ref="W10:W11"/>
    <mergeCell ref="X10:X11"/>
    <mergeCell ref="Y10:Y11"/>
  </mergeCells>
  <pageMargins left="0.43" right="0.7" top="0.28000000000000003" bottom="0.45" header="0.3" footer="0.3"/>
  <pageSetup scale="5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2000nos</vt:lpstr>
      <vt:lpstr>3000nos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dilrukshi</dc:creator>
  <cp:lastModifiedBy>prasanna Manjula</cp:lastModifiedBy>
  <cp:lastPrinted>2017-07-14T07:08:38Z</cp:lastPrinted>
  <dcterms:created xsi:type="dcterms:W3CDTF">2013-09-13T11:09:34Z</dcterms:created>
  <dcterms:modified xsi:type="dcterms:W3CDTF">2018-07-07T03:45:03Z</dcterms:modified>
</cp:coreProperties>
</file>