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Costing 1\Factory 2\Office,shop branding\Fonterra\Sathosa Branding\Sathosa Gondola Branding 23 Location 18.03.2019\07. Kaduwela Gondola Branding Non Lighted 18.03.2019\"/>
    </mc:Choice>
  </mc:AlternateContent>
  <bookViews>
    <workbookView xWindow="0" yWindow="0" windowWidth="20490" windowHeight="7755" tabRatio="765" firstSheet="1" activeTab="1"/>
  </bookViews>
  <sheets>
    <sheet name="47X1.5 Aluminium Strip" sheetId="55" state="hidden" r:id="rId1"/>
    <sheet name="Communication BOX Non Lighted" sheetId="60" r:id="rId2"/>
    <sheet name="North Central" sheetId="2" state="hidden" r:id="rId3"/>
    <sheet name="Southern Province" sheetId="4" state="hidden" r:id="rId4"/>
  </sheets>
  <externalReferences>
    <externalReference r:id="rId5"/>
  </externalReferences>
  <definedNames>
    <definedName name="_xlnm.Print_Area" localSheetId="0">'47X1.5 Aluminium Strip'!$A$1:$L$68</definedName>
    <definedName name="_xlnm.Print_Area" localSheetId="1">'Communication BOX Non Lighted'!$B$1:$N$88</definedName>
    <definedName name="_xlnm.Print_Area" localSheetId="2">'North Central'!$A$1:$K$68</definedName>
    <definedName name="_xlnm.Print_Area" localSheetId="3">'Southern Province'!$A$1:$K$68</definedName>
  </definedNames>
  <calcPr calcId="152511"/>
</workbook>
</file>

<file path=xl/calcChain.xml><?xml version="1.0" encoding="utf-8"?>
<calcChain xmlns="http://schemas.openxmlformats.org/spreadsheetml/2006/main">
  <c r="J51" i="60" l="1"/>
  <c r="F9" i="60" l="1"/>
  <c r="F18" i="60"/>
  <c r="E18" i="60" s="1"/>
  <c r="I18" i="60" s="1"/>
  <c r="F11" i="60"/>
  <c r="E11" i="60" s="1"/>
  <c r="I11" i="60" s="1"/>
  <c r="F10" i="60"/>
  <c r="E10" i="60" s="1"/>
  <c r="I10" i="60" s="1"/>
  <c r="I33" i="60"/>
  <c r="I45" i="60"/>
  <c r="I43" i="60"/>
  <c r="D40" i="60"/>
  <c r="I40" i="60" s="1"/>
  <c r="D39" i="60"/>
  <c r="I39" i="60" s="1"/>
  <c r="D38" i="60"/>
  <c r="I38" i="60" s="1"/>
  <c r="M35" i="60"/>
  <c r="M36" i="60"/>
  <c r="M37" i="60"/>
  <c r="M38" i="60"/>
  <c r="M39" i="60"/>
  <c r="M40" i="60"/>
  <c r="M41" i="60"/>
  <c r="M42" i="60"/>
  <c r="M44" i="60"/>
  <c r="M45" i="60"/>
  <c r="M46" i="60"/>
  <c r="M48" i="60"/>
  <c r="M50" i="60"/>
  <c r="M54" i="60"/>
  <c r="E9" i="60"/>
  <c r="I9" i="60" s="1"/>
  <c r="E12" i="60"/>
  <c r="I12" i="60" s="1"/>
  <c r="E13" i="60"/>
  <c r="I13" i="60" s="1"/>
  <c r="E14" i="60"/>
  <c r="I14" i="60" s="1"/>
  <c r="E15" i="60"/>
  <c r="I15" i="60" s="1"/>
  <c r="E16" i="60"/>
  <c r="I16" i="60" s="1"/>
  <c r="E17" i="60"/>
  <c r="I17" i="60" s="1"/>
  <c r="E19" i="60"/>
  <c r="I19" i="60" s="1"/>
  <c r="E20" i="60"/>
  <c r="I20" i="60" s="1"/>
  <c r="E21" i="60"/>
  <c r="I21" i="60" s="1"/>
  <c r="E22" i="60"/>
  <c r="I22" i="60" s="1"/>
  <c r="E23" i="60"/>
  <c r="I23" i="60" s="1"/>
  <c r="E24" i="60"/>
  <c r="I24" i="60" s="1"/>
  <c r="E25" i="60"/>
  <c r="I25" i="60" s="1"/>
  <c r="E28" i="60"/>
  <c r="I28" i="60" s="1"/>
  <c r="E29" i="60"/>
  <c r="I29" i="60" s="1"/>
  <c r="E30" i="60"/>
  <c r="I30" i="60" s="1"/>
  <c r="E31" i="60"/>
  <c r="I31" i="60" s="1"/>
  <c r="E32" i="60"/>
  <c r="I32" i="60" s="1"/>
  <c r="F27" i="60"/>
  <c r="E27" i="60" s="1"/>
  <c r="I27" i="60" s="1"/>
  <c r="F26" i="60"/>
  <c r="E26" i="60" s="1"/>
  <c r="I26" i="60" s="1"/>
  <c r="D41" i="60" l="1"/>
  <c r="I44" i="60" s="1"/>
  <c r="J34" i="60"/>
  <c r="M34" i="60" l="1"/>
  <c r="L82" i="60" l="1"/>
  <c r="I57" i="60"/>
  <c r="I42" i="60"/>
  <c r="C41" i="60"/>
  <c r="J47" i="60" l="1"/>
  <c r="J49" i="60" s="1"/>
  <c r="M47" i="60" l="1"/>
  <c r="J52" i="60" l="1"/>
  <c r="M49" i="60"/>
  <c r="M51" i="60" l="1"/>
  <c r="J68" i="60"/>
  <c r="H68" i="60"/>
  <c r="K51" i="60"/>
  <c r="D68" i="60"/>
  <c r="M52" i="60" l="1"/>
  <c r="J53" i="60"/>
  <c r="J55" i="60" s="1"/>
  <c r="M55" i="60" l="1"/>
  <c r="D64" i="60"/>
  <c r="D73" i="60" s="1"/>
  <c r="H64" i="60"/>
  <c r="H66" i="60" s="1"/>
  <c r="K53" i="60"/>
  <c r="M53" i="60"/>
  <c r="J64" i="60"/>
  <c r="J66" i="60" l="1"/>
  <c r="K66" i="60" s="1"/>
  <c r="J77" i="60"/>
  <c r="H73" i="60"/>
  <c r="H77" i="60"/>
  <c r="D66" i="60"/>
  <c r="D70" i="60" s="1"/>
  <c r="D77" i="60"/>
  <c r="J73" i="60"/>
  <c r="H70" i="60"/>
  <c r="I66" i="60"/>
  <c r="J70" i="60" l="1"/>
  <c r="E66" i="60"/>
  <c r="D75" i="60"/>
  <c r="E70" i="60"/>
  <c r="J75" i="60"/>
  <c r="K70" i="60"/>
  <c r="I70" i="60"/>
  <c r="H75" i="60"/>
  <c r="H9" i="55" l="1"/>
  <c r="H20" i="55"/>
  <c r="H19" i="55"/>
  <c r="H18" i="55"/>
  <c r="I26" i="55" s="1"/>
  <c r="L26" i="55" s="1"/>
  <c r="K62" i="55"/>
  <c r="J65" i="55" s="1"/>
  <c r="H35" i="55"/>
  <c r="L32" i="55"/>
  <c r="L30" i="55"/>
  <c r="L29" i="55"/>
  <c r="L27" i="55"/>
  <c r="L25" i="55"/>
  <c r="L24" i="55"/>
  <c r="L23" i="55"/>
  <c r="J23" i="55"/>
  <c r="L22" i="55"/>
  <c r="H22" i="55"/>
  <c r="J22" i="55" s="1"/>
  <c r="L21" i="55"/>
  <c r="J21" i="55"/>
  <c r="C21" i="55"/>
  <c r="L19" i="55"/>
  <c r="J19" i="55"/>
  <c r="L18" i="55"/>
  <c r="L17" i="55"/>
  <c r="L16" i="55"/>
  <c r="L15" i="55"/>
  <c r="N13" i="55"/>
  <c r="H13" i="55"/>
  <c r="N12" i="55"/>
  <c r="H12" i="55"/>
  <c r="N11" i="55"/>
  <c r="H11" i="55"/>
  <c r="I14" i="55" s="1"/>
  <c r="N10" i="55"/>
  <c r="H10" i="55"/>
  <c r="N9" i="55"/>
  <c r="J18" i="55" l="1"/>
  <c r="I28" i="55"/>
  <c r="L14" i="55"/>
  <c r="L28" i="55" l="1"/>
  <c r="I31" i="55"/>
  <c r="I33" i="55" s="1"/>
  <c r="G46" i="55" l="1"/>
  <c r="J31" i="55"/>
  <c r="I46" i="55"/>
  <c r="D46" i="55"/>
  <c r="L31" i="55"/>
  <c r="I42" i="55"/>
  <c r="D42" i="55"/>
  <c r="L33" i="55"/>
  <c r="J67" i="55"/>
  <c r="G42" i="55"/>
  <c r="G55" i="55" l="1"/>
  <c r="G51" i="55"/>
  <c r="G44" i="55"/>
  <c r="D55" i="55"/>
  <c r="D51" i="55"/>
  <c r="D44" i="55"/>
  <c r="I55" i="55"/>
  <c r="I51" i="55"/>
  <c r="I44" i="55"/>
  <c r="I48" i="55" l="1"/>
  <c r="J44" i="55"/>
  <c r="G48" i="55"/>
  <c r="H44" i="55"/>
  <c r="D48" i="55"/>
  <c r="E44" i="55"/>
  <c r="D53" i="55" l="1"/>
  <c r="E48" i="55"/>
  <c r="G53" i="55"/>
  <c r="H48" i="55"/>
  <c r="I53" i="55"/>
  <c r="J48" i="55"/>
  <c r="D18" i="4" l="1"/>
  <c r="D17" i="4"/>
  <c r="D16" i="4"/>
  <c r="D18" i="2"/>
  <c r="D17" i="2"/>
  <c r="D16" i="2"/>
  <c r="F14" i="4"/>
  <c r="G26" i="2"/>
  <c r="F14" i="2"/>
  <c r="G39" i="4" l="1"/>
  <c r="G26" i="4"/>
  <c r="C25" i="4"/>
  <c r="H35" i="4" s="1"/>
  <c r="B25" i="4"/>
  <c r="G24" i="4"/>
  <c r="H30" i="4" s="1"/>
  <c r="G23" i="4"/>
  <c r="F18" i="4"/>
  <c r="G18" i="4" s="1"/>
  <c r="G17" i="4"/>
  <c r="G16" i="4"/>
  <c r="G14" i="4"/>
  <c r="G13" i="4"/>
  <c r="G12" i="4"/>
  <c r="G11" i="4"/>
  <c r="G10" i="4"/>
  <c r="G9" i="4"/>
  <c r="G39" i="2"/>
  <c r="C25" i="2"/>
  <c r="H35" i="2" s="1"/>
  <c r="B25" i="2"/>
  <c r="G24" i="2"/>
  <c r="G23" i="2"/>
  <c r="F18" i="2"/>
  <c r="G18" i="2" s="1"/>
  <c r="G17" i="2"/>
  <c r="G16" i="2"/>
  <c r="G14" i="2"/>
  <c r="G13" i="2"/>
  <c r="G12" i="2"/>
  <c r="G11" i="2"/>
  <c r="G10" i="2"/>
  <c r="G9" i="2"/>
  <c r="H30" i="2" l="1"/>
  <c r="H32" i="2" s="1"/>
  <c r="H37" i="2" s="1"/>
  <c r="H46" i="2" s="1"/>
  <c r="H60" i="2" s="1"/>
  <c r="H19" i="2"/>
  <c r="H18" i="2"/>
  <c r="H19" i="4"/>
  <c r="H32" i="4" s="1"/>
  <c r="H37" i="4" s="1"/>
  <c r="H18" i="4"/>
  <c r="F50" i="4"/>
  <c r="H50" i="4"/>
  <c r="C50" i="4"/>
  <c r="H14" i="4"/>
  <c r="F50" i="2"/>
  <c r="H50" i="2"/>
  <c r="C50" i="2"/>
  <c r="H14" i="2"/>
  <c r="H46" i="4" l="1"/>
  <c r="H60" i="4" s="1"/>
  <c r="C46" i="4"/>
  <c r="C60" i="4" s="1"/>
  <c r="F46" i="4"/>
  <c r="F60" i="4" s="1"/>
  <c r="I35" i="4"/>
  <c r="C46" i="2"/>
  <c r="C60" i="2" s="1"/>
  <c r="I35" i="2"/>
  <c r="F46" i="2"/>
  <c r="F48" i="2" s="1"/>
  <c r="H55" i="2"/>
  <c r="H48" i="2"/>
  <c r="C48" i="2" l="1"/>
  <c r="C55" i="2"/>
  <c r="F55" i="2"/>
  <c r="F60" i="2"/>
  <c r="F55" i="4"/>
  <c r="F48" i="4"/>
  <c r="H55" i="4"/>
  <c r="H48" i="4"/>
  <c r="C55" i="4"/>
  <c r="C48" i="4"/>
  <c r="C52" i="2"/>
  <c r="D48" i="2"/>
  <c r="H52" i="2"/>
  <c r="I48" i="2"/>
  <c r="F52" i="2"/>
  <c r="G48" i="2"/>
  <c r="C52" i="4" l="1"/>
  <c r="D48" i="4"/>
  <c r="H52" i="4"/>
  <c r="I48" i="4"/>
  <c r="F52" i="4"/>
  <c r="G48" i="4"/>
  <c r="F57" i="2"/>
  <c r="G52" i="2"/>
  <c r="H57" i="2"/>
  <c r="I52" i="2"/>
  <c r="C57" i="2"/>
  <c r="D52" i="2"/>
  <c r="F57" i="4" l="1"/>
  <c r="G52" i="4"/>
  <c r="H57" i="4"/>
  <c r="I52" i="4"/>
  <c r="C57" i="4"/>
  <c r="D52" i="4"/>
</calcChain>
</file>

<file path=xl/sharedStrings.xml><?xml version="1.0" encoding="utf-8"?>
<sst xmlns="http://schemas.openxmlformats.org/spreadsheetml/2006/main" count="351" uniqueCount="121">
  <si>
    <t>JOB COSTING</t>
  </si>
  <si>
    <t xml:space="preserve">Date              - </t>
  </si>
  <si>
    <t>No</t>
  </si>
  <si>
    <t>Customer    -</t>
  </si>
  <si>
    <t xml:space="preserve">Total order Quantity  -   </t>
  </si>
  <si>
    <t>Job                 -</t>
  </si>
  <si>
    <t>Job handle by -</t>
  </si>
  <si>
    <t>Qty</t>
  </si>
  <si>
    <t>Rs.</t>
  </si>
  <si>
    <t xml:space="preserve">        Diagram with Dimension</t>
  </si>
  <si>
    <t xml:space="preserve">Direct Material </t>
  </si>
  <si>
    <t>Total Material cost</t>
  </si>
  <si>
    <t>Variable OH</t>
  </si>
  <si>
    <t xml:space="preserve">Labour </t>
  </si>
  <si>
    <t>no. of emp.</t>
  </si>
  <si>
    <t>no. of hrs.</t>
  </si>
  <si>
    <t>Electrycity</t>
  </si>
  <si>
    <t xml:space="preserve">Transport  </t>
  </si>
  <si>
    <t>Total Variable cost</t>
  </si>
  <si>
    <t>Total Ma+VC</t>
  </si>
  <si>
    <t>FOH</t>
  </si>
  <si>
    <t>Total cost/unit</t>
  </si>
  <si>
    <t>Advertising Tax</t>
  </si>
  <si>
    <t>RDA /Land Rent</t>
  </si>
  <si>
    <t>Fixing Yes/No</t>
  </si>
  <si>
    <t xml:space="preserve">Marging </t>
  </si>
  <si>
    <t>SP</t>
  </si>
  <si>
    <t>Contribution</t>
  </si>
  <si>
    <t>NP</t>
  </si>
  <si>
    <t>Total Value of the Order</t>
  </si>
  <si>
    <t>……………………</t>
  </si>
  <si>
    <t>Agreed price  ………………</t>
  </si>
  <si>
    <t>Prepared by</t>
  </si>
  <si>
    <t>Commission ……………….</t>
  </si>
  <si>
    <t>………………</t>
  </si>
  <si>
    <t>……………..</t>
  </si>
  <si>
    <t>……………………..</t>
  </si>
  <si>
    <t>Costing</t>
  </si>
  <si>
    <t>Finance</t>
  </si>
  <si>
    <t>Authorised by</t>
  </si>
  <si>
    <t>Final Price ………………….</t>
  </si>
  <si>
    <t>Nos</t>
  </si>
  <si>
    <t>Description</t>
  </si>
  <si>
    <t>Unit</t>
  </si>
  <si>
    <t>Unit Price</t>
  </si>
  <si>
    <t xml:space="preserve"> value Rs.</t>
  </si>
  <si>
    <t>Total Rs.</t>
  </si>
  <si>
    <t>Other</t>
  </si>
  <si>
    <t>Production</t>
  </si>
  <si>
    <t>Installation</t>
  </si>
  <si>
    <t>GM Sales/Marketing</t>
  </si>
  <si>
    <t>27.05.2014</t>
  </si>
  <si>
    <t>Dialog</t>
  </si>
  <si>
    <t>Dealer Board 12' X 4'</t>
  </si>
  <si>
    <t>DR 5719</t>
  </si>
  <si>
    <t>1" x 1" Galvanized Box Bar 1.2mm</t>
  </si>
  <si>
    <t>1" x 1" L Beading (Silver)</t>
  </si>
  <si>
    <t>Star Flex (Block Out Back Black)</t>
  </si>
  <si>
    <t>Anticorosive Paint (BlacK)</t>
  </si>
  <si>
    <t>2" 5mm Nut &amp; Bolt</t>
  </si>
  <si>
    <t>2" Anchor Bolt</t>
  </si>
  <si>
    <t>1.5" x 1.5" x 5mm L Angle</t>
  </si>
  <si>
    <t xml:space="preserve"> OTHER MATERIAL &amp; ETC..</t>
  </si>
  <si>
    <t>Sqft</t>
  </si>
  <si>
    <t>Ltr</t>
  </si>
  <si>
    <t>FT</t>
  </si>
  <si>
    <t>North Central</t>
  </si>
  <si>
    <t>Southern Province</t>
  </si>
  <si>
    <t>SQFT</t>
  </si>
  <si>
    <t xml:space="preserve">Meals </t>
  </si>
  <si>
    <t xml:space="preserve">Meals &amp; Accommodation </t>
  </si>
  <si>
    <t>Meals &amp; Accommodation</t>
  </si>
  <si>
    <t>Fonterra</t>
  </si>
  <si>
    <t xml:space="preserve">Others </t>
  </si>
  <si>
    <t>Digital Sticker with Lamination</t>
  </si>
  <si>
    <t>LFT 1.5''</t>
  </si>
  <si>
    <t>Total Final Amount</t>
  </si>
  <si>
    <t>Total Cost</t>
  </si>
  <si>
    <t>Digital Printed Laminated Sticker</t>
  </si>
  <si>
    <t>Silver Foil</t>
  </si>
  <si>
    <t>09.03.2017</t>
  </si>
  <si>
    <t>Aluminium Shelf Strip With Sticker</t>
  </si>
  <si>
    <t>1/3</t>
  </si>
  <si>
    <t>47'' X 1.5''</t>
  </si>
  <si>
    <t xml:space="preserve">Aluminium L Beading 1.5'' Light 12' </t>
  </si>
  <si>
    <t>Kiribathgoda</t>
  </si>
  <si>
    <t xml:space="preserve">Transport </t>
  </si>
  <si>
    <t>Communication Box</t>
  </si>
  <si>
    <t>9mm MDF Board</t>
  </si>
  <si>
    <t>Sanding Sealer</t>
  </si>
  <si>
    <t>LTR</t>
  </si>
  <si>
    <t>Filler Gray</t>
  </si>
  <si>
    <t>Thinner</t>
  </si>
  <si>
    <t>Brilliant White</t>
  </si>
  <si>
    <t>Sand Paper 120</t>
  </si>
  <si>
    <t>Sand Paper 240</t>
  </si>
  <si>
    <t>Sand Paper 320</t>
  </si>
  <si>
    <t>2mm Clear Perspex 8' X 4'</t>
  </si>
  <si>
    <t>LED Back Lit Print</t>
  </si>
  <si>
    <t>6mm U Beading White 12'</t>
  </si>
  <si>
    <t>Others</t>
  </si>
  <si>
    <t>CNC Cutting</t>
  </si>
  <si>
    <t>……………….…………….</t>
  </si>
  <si>
    <t>3mm Forex Board 8' X 4'</t>
  </si>
  <si>
    <t>Mirror Cap Nut &amp; Bolt 1.5''X 3/16''</t>
  </si>
  <si>
    <t>SS Nut 3/16''</t>
  </si>
  <si>
    <t xml:space="preserve">PVC White Sticker </t>
  </si>
  <si>
    <t xml:space="preserve">PVC Black Sticker </t>
  </si>
  <si>
    <t xml:space="preserve">One Way Vission Sticker </t>
  </si>
  <si>
    <t>Sand Paper 220</t>
  </si>
  <si>
    <t>Emulsion Paint - Briliant White</t>
  </si>
  <si>
    <t>Brilliant White Gloss Auto Paint</t>
  </si>
  <si>
    <t>Wire Tie</t>
  </si>
  <si>
    <t xml:space="preserve">Based Costing </t>
  </si>
  <si>
    <t>Meals</t>
  </si>
  <si>
    <t>Based Qty</t>
  </si>
  <si>
    <t>02.02.2019</t>
  </si>
  <si>
    <t>5mm Clear Perspex 8' X 4'</t>
  </si>
  <si>
    <t>Kaduwela Sathosa</t>
  </si>
  <si>
    <t>34'' X 13'' X 10''</t>
  </si>
  <si>
    <t xml:space="preserve">Communication Non Lighted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</si>
</sst>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oudy Stout"/>
      <family val="1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2" xfId="0" applyFont="1" applyBorder="1"/>
    <xf numFmtId="0" fontId="2" fillId="0" borderId="1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0" fillId="0" borderId="0" xfId="0" applyFill="1" applyBorder="1"/>
    <xf numFmtId="43" fontId="0" fillId="0" borderId="0" xfId="1" applyFont="1" applyFill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43" fontId="0" fillId="0" borderId="0" xfId="1" applyFont="1"/>
    <xf numFmtId="0" fontId="0" fillId="0" borderId="12" xfId="0" applyFill="1" applyBorder="1"/>
    <xf numFmtId="0" fontId="0" fillId="0" borderId="0" xfId="0" applyFill="1"/>
    <xf numFmtId="0" fontId="2" fillId="0" borderId="8" xfId="0" applyFont="1" applyFill="1" applyBorder="1"/>
    <xf numFmtId="0" fontId="2" fillId="0" borderId="0" xfId="0" applyFont="1" applyFill="1" applyBorder="1"/>
    <xf numFmtId="0" fontId="2" fillId="0" borderId="12" xfId="0" applyFont="1" applyFill="1" applyBorder="1"/>
    <xf numFmtId="0" fontId="2" fillId="0" borderId="0" xfId="0" applyFont="1" applyFill="1"/>
    <xf numFmtId="0" fontId="2" fillId="0" borderId="0" xfId="0" applyFont="1" applyBorder="1"/>
    <xf numFmtId="0" fontId="2" fillId="0" borderId="0" xfId="0" applyFont="1"/>
    <xf numFmtId="9" fontId="5" fillId="0" borderId="0" xfId="0" applyNumberFormat="1" applyFont="1"/>
    <xf numFmtId="0" fontId="5" fillId="0" borderId="0" xfId="0" applyFont="1"/>
    <xf numFmtId="9" fontId="7" fillId="0" borderId="0" xfId="2" applyFont="1"/>
    <xf numFmtId="9" fontId="0" fillId="0" borderId="0" xfId="2" applyFont="1"/>
    <xf numFmtId="43" fontId="2" fillId="2" borderId="15" xfId="1" applyFont="1" applyFill="1" applyBorder="1"/>
    <xf numFmtId="43" fontId="2" fillId="2" borderId="15" xfId="0" applyNumberFormat="1" applyFont="1" applyFill="1" applyBorder="1"/>
    <xf numFmtId="9" fontId="2" fillId="0" borderId="0" xfId="2" applyFont="1"/>
    <xf numFmtId="43" fontId="0" fillId="0" borderId="0" xfId="0" applyNumberFormat="1"/>
    <xf numFmtId="43" fontId="2" fillId="3" borderId="15" xfId="1" applyFont="1" applyFill="1" applyBorder="1"/>
    <xf numFmtId="43" fontId="2" fillId="3" borderId="15" xfId="0" applyNumberFormat="1" applyFont="1" applyFill="1" applyBorder="1"/>
    <xf numFmtId="43" fontId="2" fillId="0" borderId="0" xfId="1" applyFont="1" applyFill="1" applyBorder="1"/>
    <xf numFmtId="9" fontId="2" fillId="0" borderId="0" xfId="2" applyFont="1" applyFill="1"/>
    <xf numFmtId="0" fontId="5" fillId="0" borderId="0" xfId="0" applyFont="1" applyAlignment="1">
      <alignment horizontal="center"/>
    </xf>
    <xf numFmtId="43" fontId="8" fillId="0" borderId="0" xfId="1" applyFont="1"/>
    <xf numFmtId="0" fontId="8" fillId="0" borderId="0" xfId="0" applyFont="1"/>
    <xf numFmtId="43" fontId="8" fillId="0" borderId="0" xfId="0" applyNumberFormat="1" applyFont="1"/>
    <xf numFmtId="9" fontId="8" fillId="0" borderId="0" xfId="2" applyFont="1"/>
    <xf numFmtId="9" fontId="0" fillId="0" borderId="0" xfId="2" applyFont="1" applyAlignment="1">
      <alignment horizontal="left"/>
    </xf>
    <xf numFmtId="9" fontId="2" fillId="0" borderId="0" xfId="2" applyFont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/>
    <xf numFmtId="43" fontId="9" fillId="0" borderId="0" xfId="1" applyFont="1" applyFill="1" applyBorder="1" applyAlignment="1">
      <alignment horizontal="center"/>
    </xf>
    <xf numFmtId="43" fontId="10" fillId="0" borderId="13" xfId="1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43" fontId="2" fillId="0" borderId="8" xfId="0" applyNumberFormat="1" applyFont="1" applyFill="1" applyBorder="1"/>
    <xf numFmtId="0" fontId="9" fillId="0" borderId="18" xfId="0" applyFont="1" applyFill="1" applyBorder="1"/>
    <xf numFmtId="0" fontId="0" fillId="0" borderId="19" xfId="0" applyFill="1" applyBorder="1"/>
    <xf numFmtId="0" fontId="0" fillId="0" borderId="18" xfId="0" applyFill="1" applyBorder="1" applyAlignment="1">
      <alignment horizontal="center"/>
    </xf>
    <xf numFmtId="43" fontId="9" fillId="0" borderId="18" xfId="1" applyFont="1" applyFill="1" applyBorder="1" applyAlignment="1">
      <alignment horizontal="right"/>
    </xf>
    <xf numFmtId="43" fontId="9" fillId="0" borderId="17" xfId="1" applyFont="1" applyFill="1" applyBorder="1" applyAlignment="1">
      <alignment horizontal="center"/>
    </xf>
    <xf numFmtId="0" fontId="0" fillId="0" borderId="18" xfId="0" applyFill="1" applyBorder="1"/>
    <xf numFmtId="43" fontId="1" fillId="0" borderId="18" xfId="1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19" xfId="0" applyFont="1" applyFill="1" applyBorder="1"/>
    <xf numFmtId="0" fontId="2" fillId="0" borderId="18" xfId="0" applyFont="1" applyFill="1" applyBorder="1" applyAlignment="1">
      <alignment horizontal="center"/>
    </xf>
    <xf numFmtId="43" fontId="2" fillId="0" borderId="18" xfId="1" applyFont="1" applyFill="1" applyBorder="1" applyAlignment="1">
      <alignment horizontal="center"/>
    </xf>
    <xf numFmtId="43" fontId="10" fillId="0" borderId="17" xfId="1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18" xfId="0" applyFont="1" applyFill="1" applyBorder="1" applyAlignment="1">
      <alignment horizontal="left" indent="3"/>
    </xf>
    <xf numFmtId="43" fontId="9" fillId="0" borderId="17" xfId="1" applyFont="1" applyFill="1" applyBorder="1" applyAlignment="1">
      <alignment horizontal="right"/>
    </xf>
    <xf numFmtId="0" fontId="0" fillId="0" borderId="20" xfId="0" applyFill="1" applyBorder="1"/>
    <xf numFmtId="0" fontId="2" fillId="0" borderId="18" xfId="0" applyFont="1" applyFill="1" applyBorder="1" applyAlignment="1">
      <alignment horizontal="left"/>
    </xf>
    <xf numFmtId="43" fontId="10" fillId="0" borderId="17" xfId="1" applyFont="1" applyFill="1" applyBorder="1" applyAlignment="1">
      <alignment horizontal="right"/>
    </xf>
    <xf numFmtId="2" fontId="0" fillId="0" borderId="18" xfId="0" applyNumberFormat="1" applyFont="1" applyFill="1" applyBorder="1" applyAlignment="1">
      <alignment horizontal="center"/>
    </xf>
    <xf numFmtId="43" fontId="10" fillId="0" borderId="22" xfId="1" applyFont="1" applyFill="1" applyBorder="1" applyAlignment="1">
      <alignment horizontal="right"/>
    </xf>
    <xf numFmtId="43" fontId="9" fillId="0" borderId="21" xfId="1" applyFont="1" applyFill="1" applyBorder="1" applyAlignment="1">
      <alignment horizontal="center"/>
    </xf>
    <xf numFmtId="43" fontId="10" fillId="0" borderId="22" xfId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4" xfId="0" applyFill="1" applyBorder="1"/>
    <xf numFmtId="0" fontId="0" fillId="0" borderId="25" xfId="0" applyFill="1" applyBorder="1"/>
    <xf numFmtId="0" fontId="6" fillId="0" borderId="23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5" fillId="0" borderId="9" xfId="0" applyFont="1" applyFill="1" applyBorder="1"/>
    <xf numFmtId="0" fontId="4" fillId="0" borderId="10" xfId="0" applyFont="1" applyFill="1" applyBorder="1"/>
    <xf numFmtId="0" fontId="2" fillId="0" borderId="20" xfId="0" applyFont="1" applyFill="1" applyBorder="1"/>
    <xf numFmtId="0" fontId="0" fillId="0" borderId="26" xfId="0" applyFill="1" applyBorder="1"/>
    <xf numFmtId="0" fontId="6" fillId="0" borderId="27" xfId="0" applyFont="1" applyFill="1" applyBorder="1" applyAlignment="1">
      <alignment horizontal="center"/>
    </xf>
    <xf numFmtId="0" fontId="0" fillId="0" borderId="28" xfId="0" applyFill="1" applyBorder="1"/>
    <xf numFmtId="43" fontId="9" fillId="0" borderId="17" xfId="1" applyFont="1" applyFill="1" applyBorder="1"/>
    <xf numFmtId="0" fontId="0" fillId="0" borderId="20" xfId="0" quotePrefix="1" applyFill="1" applyBorder="1" applyAlignment="1">
      <alignment horizontal="center"/>
    </xf>
    <xf numFmtId="43" fontId="0" fillId="0" borderId="23" xfId="1" applyFont="1" applyFill="1" applyBorder="1"/>
    <xf numFmtId="43" fontId="0" fillId="0" borderId="27" xfId="1" applyFont="1" applyFill="1" applyBorder="1"/>
    <xf numFmtId="0" fontId="5" fillId="0" borderId="29" xfId="0" applyFont="1" applyFill="1" applyBorder="1"/>
    <xf numFmtId="0" fontId="0" fillId="0" borderId="30" xfId="0" applyFill="1" applyBorder="1"/>
    <xf numFmtId="0" fontId="0" fillId="0" borderId="23" xfId="0" applyFont="1" applyFill="1" applyBorder="1" applyAlignment="1"/>
    <xf numFmtId="0" fontId="2" fillId="0" borderId="23" xfId="0" applyFont="1" applyFill="1" applyBorder="1" applyAlignment="1">
      <alignment horizontal="center"/>
    </xf>
    <xf numFmtId="10" fontId="11" fillId="0" borderId="8" xfId="2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10" fillId="0" borderId="18" xfId="0" applyFont="1" applyFill="1" applyBorder="1" applyAlignment="1"/>
    <xf numFmtId="43" fontId="9" fillId="4" borderId="17" xfId="1" applyFont="1" applyFill="1" applyBorder="1" applyAlignment="1">
      <alignment horizontal="right"/>
    </xf>
    <xf numFmtId="9" fontId="12" fillId="0" borderId="17" xfId="0" quotePrefix="1" applyNumberFormat="1" applyFont="1" applyFill="1" applyBorder="1"/>
    <xf numFmtId="43" fontId="9" fillId="4" borderId="17" xfId="1" applyFont="1" applyFill="1" applyBorder="1" applyAlignment="1">
      <alignment horizontal="center"/>
    </xf>
    <xf numFmtId="0" fontId="13" fillId="0" borderId="1" xfId="0" applyFont="1" applyBorder="1"/>
    <xf numFmtId="43" fontId="2" fillId="0" borderId="12" xfId="0" applyNumberFormat="1" applyFont="1" applyFill="1" applyBorder="1"/>
    <xf numFmtId="43" fontId="0" fillId="0" borderId="8" xfId="1" applyFont="1" applyFill="1" applyBorder="1"/>
    <xf numFmtId="43" fontId="2" fillId="0" borderId="1" xfId="1" applyFont="1" applyBorder="1"/>
    <xf numFmtId="43" fontId="2" fillId="0" borderId="9" xfId="1" applyFont="1" applyFill="1" applyBorder="1"/>
    <xf numFmtId="43" fontId="2" fillId="0" borderId="8" xfId="1" applyFont="1" applyFill="1" applyBorder="1"/>
    <xf numFmtId="43" fontId="0" fillId="0" borderId="4" xfId="1" applyFont="1" applyFill="1" applyBorder="1"/>
    <xf numFmtId="43" fontId="2" fillId="0" borderId="0" xfId="1" applyFont="1"/>
    <xf numFmtId="43" fontId="0" fillId="0" borderId="0" xfId="1" applyFont="1" applyAlignment="1">
      <alignment horizontal="left"/>
    </xf>
    <xf numFmtId="43" fontId="2" fillId="0" borderId="0" xfId="1" applyFont="1" applyAlignment="1">
      <alignment horizontal="left"/>
    </xf>
    <xf numFmtId="10" fontId="11" fillId="0" borderId="8" xfId="1" applyNumberFormat="1" applyFont="1" applyFill="1" applyBorder="1"/>
    <xf numFmtId="164" fontId="0" fillId="0" borderId="20" xfId="0" quotePrefix="1" applyNumberFormat="1" applyFill="1" applyBorder="1" applyAlignment="1">
      <alignment horizontal="center"/>
    </xf>
    <xf numFmtId="0" fontId="0" fillId="0" borderId="23" xfId="0" applyFill="1" applyBorder="1" applyAlignment="1"/>
    <xf numFmtId="0" fontId="2" fillId="0" borderId="3" xfId="0" applyFont="1" applyBorder="1" applyAlignment="1">
      <alignment horizontal="center"/>
    </xf>
    <xf numFmtId="2" fontId="0" fillId="0" borderId="20" xfId="0" quotePrefix="1" applyNumberFormat="1" applyFill="1" applyBorder="1" applyAlignment="1">
      <alignment horizontal="center"/>
    </xf>
    <xf numFmtId="0" fontId="15" fillId="0" borderId="0" xfId="0" applyFont="1" applyFill="1" applyBorder="1"/>
    <xf numFmtId="0" fontId="14" fillId="0" borderId="0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0" fontId="0" fillId="0" borderId="31" xfId="0" applyFont="1" applyFill="1" applyBorder="1" applyAlignment="1"/>
    <xf numFmtId="0" fontId="0" fillId="0" borderId="31" xfId="0" applyFill="1" applyBorder="1" applyAlignment="1"/>
    <xf numFmtId="0" fontId="0" fillId="0" borderId="8" xfId="0" applyFill="1" applyBorder="1" applyAlignment="1"/>
    <xf numFmtId="43" fontId="0" fillId="0" borderId="12" xfId="1" applyFont="1" applyFill="1" applyBorder="1"/>
    <xf numFmtId="43" fontId="9" fillId="0" borderId="0" xfId="1" applyFont="1" applyFill="1" applyBorder="1"/>
    <xf numFmtId="43" fontId="9" fillId="0" borderId="21" xfId="1" applyFont="1" applyFill="1" applyBorder="1"/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9" xfId="0" quotePrefix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9" fontId="9" fillId="0" borderId="17" xfId="0" applyNumberFormat="1" applyFont="1" applyFill="1" applyBorder="1"/>
    <xf numFmtId="10" fontId="0" fillId="0" borderId="8" xfId="2" applyNumberFormat="1" applyFont="1" applyFill="1" applyBorder="1"/>
    <xf numFmtId="0" fontId="0" fillId="0" borderId="0" xfId="0" applyFill="1" applyAlignment="1">
      <alignment horizontal="center"/>
    </xf>
    <xf numFmtId="9" fontId="0" fillId="0" borderId="0" xfId="0" applyNumberFormat="1" applyFill="1"/>
    <xf numFmtId="43" fontId="1" fillId="0" borderId="0" xfId="1" applyFont="1"/>
    <xf numFmtId="43" fontId="2" fillId="0" borderId="0" xfId="0" applyNumberFormat="1" applyFont="1" applyFill="1"/>
    <xf numFmtId="43" fontId="14" fillId="0" borderId="0" xfId="0" applyNumberFormat="1" applyFont="1" applyFill="1"/>
    <xf numFmtId="165" fontId="0" fillId="0" borderId="19" xfId="0" quotePrefix="1" applyNumberFormat="1" applyFill="1" applyBorder="1" applyAlignment="1">
      <alignment horizontal="center"/>
    </xf>
    <xf numFmtId="2" fontId="0" fillId="0" borderId="19" xfId="0" quotePrefix="1" applyNumberFormat="1" applyFill="1" applyBorder="1" applyAlignment="1">
      <alignment horizontal="center"/>
    </xf>
    <xf numFmtId="1" fontId="0" fillId="0" borderId="19" xfId="0" quotePrefix="1" applyNumberFormat="1" applyFill="1" applyBorder="1" applyAlignment="1">
      <alignment horizontal="center"/>
    </xf>
    <xf numFmtId="165" fontId="2" fillId="0" borderId="2" xfId="0" applyNumberFormat="1" applyFont="1" applyBorder="1"/>
    <xf numFmtId="2" fontId="15" fillId="5" borderId="20" xfId="0" quotePrefix="1" applyNumberFormat="1" applyFont="1" applyFill="1" applyBorder="1" applyAlignment="1">
      <alignment horizontal="center"/>
    </xf>
    <xf numFmtId="43" fontId="15" fillId="5" borderId="18" xfId="1" applyFont="1" applyFill="1" applyBorder="1" applyAlignment="1">
      <alignment horizontal="right"/>
    </xf>
    <xf numFmtId="0" fontId="2" fillId="0" borderId="7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C6C2"/>
      <color rgb="FFC7095A"/>
      <color rgb="FF030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osting%201\Factory%202\Office,shop%20branding\Fonterra\Shop%20Branding%20&amp;%20Gondola%20Branding%20with%20LED%2015nos%20of%20Shops%2007.07.2016\Rathmalana%20Lak%20Sathosa%20Branding%2007.07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ght Box"/>
      <sheetName val="MDF Embose Fillar"/>
      <sheetName val="Shelf Strip With Sticker"/>
      <sheetName val="Shelf Strip With Sticker (2)"/>
      <sheetName val="MDF Embose Fillar (2)"/>
      <sheetName val="Light Box (2)"/>
      <sheetName val="LED Skin Change"/>
      <sheetName val="35X1.5in LED Strip"/>
      <sheetName val="Power Supply with Wiring 10A"/>
      <sheetName val="Power Supply with Wiring 20A"/>
      <sheetName val="Summery"/>
      <sheetName val="North Central"/>
      <sheetName val="Southern Provi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B10" t="str">
            <v>LED Strip 5mm</v>
          </cell>
          <cell r="E10" t="str">
            <v>Nos</v>
          </cell>
        </row>
        <row r="11">
          <cell r="B11" t="str">
            <v xml:space="preserve">Power Supply (10A 20A 30A) </v>
          </cell>
          <cell r="E11" t="str">
            <v>Nos</v>
          </cell>
        </row>
        <row r="12">
          <cell r="B12" t="str">
            <v>Perspex Clear 6mm 6X4</v>
          </cell>
          <cell r="E12" t="str">
            <v>Nos</v>
          </cell>
        </row>
        <row r="13">
          <cell r="B13" t="str">
            <v>Perspex Clear 6mm 8X4</v>
          </cell>
          <cell r="E13" t="str">
            <v>Nos</v>
          </cell>
        </row>
        <row r="14">
          <cell r="B14" t="str">
            <v>Perspex Clear 2mm 8X 4</v>
          </cell>
          <cell r="E14" t="str">
            <v>Nos</v>
          </cell>
        </row>
        <row r="15">
          <cell r="B15" t="str">
            <v>Forex 3 mm</v>
          </cell>
          <cell r="E15" t="str">
            <v>Nos</v>
          </cell>
        </row>
        <row r="16">
          <cell r="B16" t="str">
            <v>Perspex White 2.5mm 8X4</v>
          </cell>
          <cell r="E16" t="str">
            <v>Nos</v>
          </cell>
        </row>
        <row r="17">
          <cell r="B17" t="str">
            <v>Mirror Knob</v>
          </cell>
          <cell r="E17" t="str">
            <v>Nos</v>
          </cell>
        </row>
        <row r="18">
          <cell r="B18" t="str">
            <v>Mirror Cap Screw</v>
          </cell>
          <cell r="E18" t="str">
            <v>Nos</v>
          </cell>
        </row>
        <row r="19">
          <cell r="B19" t="str">
            <v>Double side Sticker</v>
          </cell>
          <cell r="E19" t="str">
            <v>Sqft</v>
          </cell>
        </row>
        <row r="20">
          <cell r="B20" t="str">
            <v>Gray Sticker</v>
          </cell>
          <cell r="E20" t="str">
            <v>Sqft</v>
          </cell>
        </row>
        <row r="21">
          <cell r="B21" t="str">
            <v>Black Sticker</v>
          </cell>
          <cell r="E21" t="str">
            <v>Sqft</v>
          </cell>
        </row>
        <row r="22">
          <cell r="B22" t="str">
            <v>LED Backlitt</v>
          </cell>
          <cell r="E22" t="str">
            <v>Sqft</v>
          </cell>
        </row>
        <row r="23">
          <cell r="B23" t="str">
            <v>One Way Vission Sticker</v>
          </cell>
          <cell r="E23" t="str">
            <v>Sqft</v>
          </cell>
        </row>
        <row r="24">
          <cell r="B24" t="str">
            <v>Digital Sticker with Lamination</v>
          </cell>
          <cell r="E24" t="str">
            <v>Sqft</v>
          </cell>
        </row>
        <row r="25">
          <cell r="B25" t="str">
            <v>PVC Sticker with Lamination sqft</v>
          </cell>
          <cell r="E25" t="str">
            <v>Sqft</v>
          </cell>
        </row>
        <row r="26">
          <cell r="B26" t="str">
            <v>U Beading White Coated 12'</v>
          </cell>
          <cell r="E26" t="str">
            <v>Nos</v>
          </cell>
        </row>
        <row r="27">
          <cell r="B27" t="str">
            <v>L Beading 1"</v>
          </cell>
          <cell r="E27" t="str">
            <v>LFT</v>
          </cell>
        </row>
        <row r="28">
          <cell r="B28" t="str">
            <v>SS Bracket</v>
          </cell>
          <cell r="E28" t="str">
            <v>Nos</v>
          </cell>
        </row>
        <row r="29">
          <cell r="B29" t="str">
            <v>Twin wire ACL White</v>
          </cell>
          <cell r="E29" t="str">
            <v>MTR</v>
          </cell>
        </row>
        <row r="30">
          <cell r="B30" t="str">
            <v>Digital Flasher</v>
          </cell>
          <cell r="E30" t="str">
            <v>Nos</v>
          </cell>
        </row>
        <row r="31">
          <cell r="B31" t="str">
            <v>Heat Sleaves</v>
          </cell>
          <cell r="E31" t="str">
            <v>MTR</v>
          </cell>
        </row>
        <row r="32">
          <cell r="B32" t="str">
            <v>Slodring Iron</v>
          </cell>
          <cell r="E32" t="str">
            <v>MTR</v>
          </cell>
        </row>
        <row r="33">
          <cell r="B33" t="str">
            <v>Supper Glue</v>
          </cell>
          <cell r="E33" t="str">
            <v>Bottl</v>
          </cell>
        </row>
        <row r="34">
          <cell r="B34" t="str">
            <v>Digital Printed LED Backlit Flex4'</v>
          </cell>
          <cell r="E34" t="str">
            <v>Sqft</v>
          </cell>
        </row>
        <row r="35">
          <cell r="B35" t="str">
            <v xml:space="preserve">Waste </v>
          </cell>
          <cell r="E35" t="str">
            <v>Rs</v>
          </cell>
        </row>
        <row r="37">
          <cell r="B37" t="str">
            <v>3 mm MDF Board - 8' x 4'</v>
          </cell>
          <cell r="E37" t="str">
            <v>Nos</v>
          </cell>
        </row>
        <row r="38">
          <cell r="B38" t="str">
            <v xml:space="preserve">Brillian White -Gloss Auto paint      </v>
          </cell>
          <cell r="E38" t="str">
            <v>LTR</v>
          </cell>
        </row>
        <row r="39">
          <cell r="B39" t="str">
            <v>Sanding Sealer - Normal</v>
          </cell>
          <cell r="E39" t="str">
            <v>LTR</v>
          </cell>
        </row>
        <row r="40">
          <cell r="B40" t="str">
            <v>Filler Grey</v>
          </cell>
          <cell r="E40" t="str">
            <v>LTR</v>
          </cell>
        </row>
        <row r="41">
          <cell r="B41" t="str">
            <v>Thinner</v>
          </cell>
          <cell r="E41" t="str">
            <v>LTR</v>
          </cell>
        </row>
        <row r="42">
          <cell r="B42" t="str">
            <v>Digital Sticker with Lamination</v>
          </cell>
          <cell r="E42" t="str">
            <v>Sqft</v>
          </cell>
        </row>
        <row r="43">
          <cell r="B43" t="str">
            <v>Aluminum Light box Beading - 2 " - silva - 20'</v>
          </cell>
          <cell r="E43" t="str">
            <v>Nos</v>
          </cell>
        </row>
        <row r="44">
          <cell r="B44" t="str">
            <v>Plastic Light box Beading Coner - 2 "  - silva</v>
          </cell>
          <cell r="E44" t="str">
            <v>Nos</v>
          </cell>
        </row>
        <row r="45">
          <cell r="B45" t="str">
            <v xml:space="preserve">3 Core Wire                     </v>
          </cell>
          <cell r="E45" t="str">
            <v>Nos</v>
          </cell>
        </row>
        <row r="46">
          <cell r="B46" t="str">
            <v>Switch  (Tik-Tok)</v>
          </cell>
          <cell r="E46" t="str">
            <v>Nos</v>
          </cell>
        </row>
        <row r="47">
          <cell r="B47" t="str">
            <v xml:space="preserve">Plug Top </v>
          </cell>
          <cell r="E47" t="str">
            <v>Nos</v>
          </cell>
        </row>
        <row r="48">
          <cell r="B48" t="str">
            <v>12 mm MDF Board- 8' x 4'</v>
          </cell>
          <cell r="E48" t="str">
            <v>Nos</v>
          </cell>
        </row>
        <row r="49">
          <cell r="B49" t="str">
            <v>Sand Paper  No - 120 - Black</v>
          </cell>
          <cell r="E49" t="str">
            <v>Nos</v>
          </cell>
        </row>
        <row r="50">
          <cell r="B50" t="str">
            <v>Sand Paper  No - 220 - Black</v>
          </cell>
          <cell r="E50" t="str">
            <v>Nos</v>
          </cell>
        </row>
        <row r="51">
          <cell r="B51" t="str">
            <v>Sand Paper  No - 340 - Black</v>
          </cell>
          <cell r="E51" t="str">
            <v>Nos</v>
          </cell>
        </row>
        <row r="52">
          <cell r="B52" t="str">
            <v>I Mixing Auto Paint</v>
          </cell>
          <cell r="E52" t="str">
            <v>LTR</v>
          </cell>
        </row>
        <row r="54">
          <cell r="B54" t="str">
            <v>Incerters 4'</v>
          </cell>
          <cell r="E54" t="str">
            <v>Nos</v>
          </cell>
        </row>
        <row r="55">
          <cell r="B55" t="str">
            <v>Aluminium L Beading 1.5'' Light 12' (48'' X 4nos)</v>
          </cell>
          <cell r="E55" t="str">
            <v>Nos</v>
          </cell>
        </row>
        <row r="56">
          <cell r="B56" t="str">
            <v>Digital Printed Laminated Sticker</v>
          </cell>
          <cell r="E56" t="str">
            <v>Sqft</v>
          </cell>
        </row>
        <row r="57">
          <cell r="B57" t="str">
            <v>Silver Foil</v>
          </cell>
          <cell r="E57" t="str">
            <v>Sqft</v>
          </cell>
        </row>
        <row r="58">
          <cell r="B58" t="str">
            <v xml:space="preserve">Perspex Sheet - 8ft x 4ft - 2.5mm - white           </v>
          </cell>
        </row>
        <row r="63">
          <cell r="B63" t="str">
            <v xml:space="preserve">Others </v>
          </cell>
          <cell r="E63" t="str">
            <v>Nos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AC6C2"/>
    <pageSetUpPr fitToPage="1"/>
  </sheetPr>
  <dimension ref="B1:S67"/>
  <sheetViews>
    <sheetView workbookViewId="0">
      <selection activeCell="D17" sqref="D17"/>
    </sheetView>
  </sheetViews>
  <sheetFormatPr defaultRowHeight="15" x14ac:dyDescent="0.25"/>
  <cols>
    <col min="1" max="1" width="2" customWidth="1"/>
    <col min="2" max="2" width="15.7109375" customWidth="1"/>
    <col min="3" max="3" width="8.140625" customWidth="1"/>
    <col min="4" max="4" width="15.5703125" customWidth="1"/>
    <col min="5" max="5" width="10" customWidth="1"/>
    <col min="6" max="6" width="7.7109375" customWidth="1"/>
    <col min="7" max="7" width="11.5703125" customWidth="1"/>
    <col min="8" max="9" width="11.7109375" customWidth="1"/>
    <col min="10" max="10" width="10.5703125" style="19" bestFit="1" customWidth="1"/>
    <col min="11" max="11" width="11.28515625" customWidth="1"/>
    <col min="12" max="12" width="10.5703125" customWidth="1"/>
    <col min="14" max="14" width="9.140625" style="1"/>
    <col min="16" max="16" width="11.5703125" customWidth="1"/>
    <col min="17" max="17" width="10.85546875" customWidth="1"/>
  </cols>
  <sheetData>
    <row r="1" spans="2:19" ht="15.75" thickBot="1" x14ac:dyDescent="0.3">
      <c r="J1"/>
    </row>
    <row r="2" spans="2:19" ht="16.5" thickBot="1" x14ac:dyDescent="0.35">
      <c r="B2" s="2"/>
      <c r="C2" s="3"/>
      <c r="D2" s="3"/>
      <c r="E2" s="4" t="s">
        <v>0</v>
      </c>
      <c r="F2" s="4"/>
      <c r="G2" s="4"/>
      <c r="H2" s="5"/>
      <c r="I2" s="5"/>
      <c r="J2" s="161" t="s">
        <v>85</v>
      </c>
      <c r="K2" s="161"/>
      <c r="L2" s="162"/>
    </row>
    <row r="3" spans="2:19" ht="15.75" thickBot="1" x14ac:dyDescent="0.3">
      <c r="B3" s="6" t="s">
        <v>1</v>
      </c>
      <c r="C3" s="3" t="s">
        <v>80</v>
      </c>
      <c r="D3" s="3"/>
      <c r="E3" s="3"/>
      <c r="F3" s="3"/>
      <c r="G3" s="3"/>
      <c r="H3" s="7"/>
      <c r="I3" s="3"/>
      <c r="J3" s="2" t="s">
        <v>2</v>
      </c>
      <c r="K3" s="3"/>
      <c r="L3" s="7"/>
    </row>
    <row r="4" spans="2:19" ht="15.75" thickBot="1" x14ac:dyDescent="0.3">
      <c r="B4" s="8" t="s">
        <v>3</v>
      </c>
      <c r="C4" s="9" t="s">
        <v>72</v>
      </c>
      <c r="D4" s="9"/>
      <c r="E4" s="109" t="s">
        <v>83</v>
      </c>
      <c r="F4" s="109"/>
      <c r="G4" s="9"/>
      <c r="H4" s="10"/>
      <c r="I4" s="9"/>
      <c r="J4" s="2" t="s">
        <v>4</v>
      </c>
      <c r="K4" s="3"/>
      <c r="L4" s="128">
        <v>6</v>
      </c>
    </row>
    <row r="5" spans="2:19" ht="16.5" customHeight="1" thickBot="1" x14ac:dyDescent="0.3">
      <c r="B5" s="6" t="s">
        <v>5</v>
      </c>
      <c r="C5" s="3" t="s">
        <v>81</v>
      </c>
      <c r="D5" s="3"/>
      <c r="E5" s="3"/>
      <c r="F5" s="3"/>
      <c r="G5" s="3"/>
      <c r="H5" s="13">
        <v>4</v>
      </c>
      <c r="I5" s="12" t="s">
        <v>75</v>
      </c>
      <c r="J5" s="2"/>
      <c r="K5" s="3"/>
      <c r="L5" s="7"/>
    </row>
    <row r="6" spans="2:19" ht="15.75" thickBot="1" x14ac:dyDescent="0.3">
      <c r="B6" s="6" t="s">
        <v>6</v>
      </c>
      <c r="C6" s="3"/>
      <c r="D6" s="3"/>
      <c r="E6" s="115"/>
      <c r="F6" s="3"/>
      <c r="G6" s="12"/>
      <c r="H6" s="7"/>
      <c r="I6" s="3"/>
      <c r="J6" s="163"/>
      <c r="K6" s="164"/>
      <c r="L6" s="165"/>
    </row>
    <row r="7" spans="2:19" ht="25.5" customHeight="1" thickBot="1" x14ac:dyDescent="0.3">
      <c r="B7" s="166" t="s">
        <v>42</v>
      </c>
      <c r="C7" s="167"/>
      <c r="D7" s="168"/>
      <c r="E7" s="47" t="s">
        <v>7</v>
      </c>
      <c r="F7" s="47" t="s">
        <v>43</v>
      </c>
      <c r="G7" s="132" t="s">
        <v>44</v>
      </c>
      <c r="H7" s="47" t="s">
        <v>45</v>
      </c>
      <c r="I7" s="48" t="s">
        <v>46</v>
      </c>
      <c r="J7" s="118" t="s">
        <v>9</v>
      </c>
      <c r="K7" s="12"/>
      <c r="L7" s="13"/>
      <c r="N7" s="14"/>
      <c r="O7" s="14"/>
      <c r="P7" s="14"/>
      <c r="Q7" s="14"/>
      <c r="R7" s="14"/>
      <c r="S7" s="14"/>
    </row>
    <row r="8" spans="2:19" s="21" customFormat="1" ht="25.5" customHeight="1" x14ac:dyDescent="0.25">
      <c r="B8" s="92" t="s">
        <v>10</v>
      </c>
      <c r="C8" s="93"/>
      <c r="D8" s="54"/>
      <c r="E8" s="90"/>
      <c r="F8" s="18"/>
      <c r="G8" s="49"/>
      <c r="H8" s="50"/>
      <c r="I8" s="51"/>
      <c r="J8" s="119"/>
      <c r="K8" s="53"/>
      <c r="L8" s="54"/>
      <c r="N8" s="14"/>
      <c r="O8" s="14"/>
      <c r="P8" s="14"/>
      <c r="Q8" s="14"/>
      <c r="R8" s="14"/>
      <c r="S8" s="14"/>
    </row>
    <row r="9" spans="2:19" s="21" customFormat="1" x14ac:dyDescent="0.25">
      <c r="B9" s="64" t="s">
        <v>84</v>
      </c>
      <c r="C9" s="65"/>
      <c r="D9" s="79"/>
      <c r="E9" s="126" t="s">
        <v>82</v>
      </c>
      <c r="F9" s="66" t="s">
        <v>41</v>
      </c>
      <c r="G9" s="67">
        <v>950</v>
      </c>
      <c r="H9" s="68">
        <f>G9/3</f>
        <v>316.66666666666669</v>
      </c>
      <c r="I9" s="68"/>
      <c r="J9" s="117"/>
      <c r="K9" s="14"/>
      <c r="L9" s="20"/>
      <c r="N9" s="130" t="e">
        <f>VLOOKUP(B9,[1]Summery!$B$10:$E$63,1,0)</f>
        <v>#N/A</v>
      </c>
      <c r="O9" s="15"/>
      <c r="P9" s="14"/>
      <c r="Q9" s="15"/>
      <c r="R9" s="16"/>
      <c r="S9" s="14"/>
    </row>
    <row r="10" spans="2:19" s="21" customFormat="1" x14ac:dyDescent="0.25">
      <c r="B10" s="64" t="s">
        <v>74</v>
      </c>
      <c r="C10" s="65"/>
      <c r="D10" s="79"/>
      <c r="E10" s="129">
        <v>1.25</v>
      </c>
      <c r="F10" s="66" t="s">
        <v>63</v>
      </c>
      <c r="G10" s="67">
        <v>75</v>
      </c>
      <c r="H10" s="68">
        <f t="shared" ref="H10:H13" si="0">E10*G10</f>
        <v>93.75</v>
      </c>
      <c r="I10" s="68"/>
      <c r="J10" s="117"/>
      <c r="K10" s="14"/>
      <c r="L10" s="20"/>
      <c r="N10" s="130" t="str">
        <f>VLOOKUP(B10,[1]Summery!$B$10:$E$63,1,0)</f>
        <v>Digital Sticker with Lamination</v>
      </c>
      <c r="O10" s="15"/>
      <c r="P10" s="14"/>
      <c r="Q10" s="15"/>
      <c r="R10" s="16"/>
      <c r="S10" s="14"/>
    </row>
    <row r="11" spans="2:19" s="21" customFormat="1" x14ac:dyDescent="0.25">
      <c r="B11" s="64" t="s">
        <v>78</v>
      </c>
      <c r="C11" s="65"/>
      <c r="D11" s="79"/>
      <c r="E11" s="129">
        <v>1.25</v>
      </c>
      <c r="F11" s="66" t="s">
        <v>63</v>
      </c>
      <c r="G11" s="67">
        <v>40</v>
      </c>
      <c r="H11" s="68">
        <f>E11*G11</f>
        <v>50</v>
      </c>
      <c r="I11" s="68"/>
      <c r="J11" s="117"/>
      <c r="K11" s="14"/>
      <c r="L11" s="20"/>
      <c r="N11" s="130" t="str">
        <f>VLOOKUP(B11,[1]Summery!$B$10:$E$63,1,0)</f>
        <v>Digital Printed Laminated Sticker</v>
      </c>
      <c r="O11" s="15"/>
      <c r="P11" s="14"/>
      <c r="Q11" s="15"/>
      <c r="R11" s="16"/>
      <c r="S11" s="14"/>
    </row>
    <row r="12" spans="2:19" s="21" customFormat="1" x14ac:dyDescent="0.25">
      <c r="B12" s="64" t="s">
        <v>79</v>
      </c>
      <c r="C12" s="65"/>
      <c r="D12" s="79"/>
      <c r="E12" s="129">
        <v>1.25</v>
      </c>
      <c r="F12" s="66" t="s">
        <v>63</v>
      </c>
      <c r="G12" s="67">
        <v>45</v>
      </c>
      <c r="H12" s="68">
        <f>E12*G12</f>
        <v>56.25</v>
      </c>
      <c r="I12" s="68"/>
      <c r="J12" s="117"/>
      <c r="K12" s="14"/>
      <c r="L12" s="20"/>
      <c r="N12" s="130" t="str">
        <f>VLOOKUP(B12,[1]Summery!$B$10:$E$63,1,0)</f>
        <v>Silver Foil</v>
      </c>
      <c r="O12" s="15"/>
      <c r="P12" s="14"/>
      <c r="Q12" s="15"/>
      <c r="R12" s="16"/>
      <c r="S12" s="14"/>
    </row>
    <row r="13" spans="2:19" s="21" customFormat="1" x14ac:dyDescent="0.25">
      <c r="B13" s="64" t="s">
        <v>73</v>
      </c>
      <c r="C13" s="65"/>
      <c r="D13" s="79"/>
      <c r="E13" s="126">
        <v>1</v>
      </c>
      <c r="F13" s="66" t="s">
        <v>41</v>
      </c>
      <c r="G13" s="67">
        <v>250</v>
      </c>
      <c r="H13" s="68">
        <f t="shared" si="0"/>
        <v>250</v>
      </c>
      <c r="I13" s="68"/>
      <c r="J13" s="117"/>
      <c r="K13" s="14"/>
      <c r="L13" s="20"/>
      <c r="N13" s="130" t="str">
        <f>VLOOKUP(B13,[1]Summery!$B$10:$E$63,1,0)</f>
        <v xml:space="preserve">Others </v>
      </c>
      <c r="O13" s="15"/>
      <c r="P13" s="14"/>
      <c r="Q13" s="15"/>
      <c r="R13" s="16"/>
      <c r="S13" s="14"/>
    </row>
    <row r="14" spans="2:19" s="25" customFormat="1" x14ac:dyDescent="0.25">
      <c r="B14" s="71" t="s">
        <v>11</v>
      </c>
      <c r="C14" s="72"/>
      <c r="D14" s="94"/>
      <c r="E14" s="91"/>
      <c r="F14" s="73"/>
      <c r="G14" s="74"/>
      <c r="H14" s="85"/>
      <c r="I14" s="60">
        <f>SUM(H9:H13)</f>
        <v>766.66666666666674</v>
      </c>
      <c r="J14" s="120"/>
      <c r="K14" s="23"/>
      <c r="L14" s="116">
        <f>I14/$H$5</f>
        <v>191.66666666666669</v>
      </c>
      <c r="N14" s="131"/>
    </row>
    <row r="15" spans="2:19" s="21" customFormat="1" x14ac:dyDescent="0.25">
      <c r="B15" s="69"/>
      <c r="C15" s="65"/>
      <c r="D15" s="79"/>
      <c r="E15" s="86"/>
      <c r="F15" s="66"/>
      <c r="G15" s="70"/>
      <c r="H15" s="68"/>
      <c r="I15" s="59"/>
      <c r="J15" s="117"/>
      <c r="K15" s="14"/>
      <c r="L15" s="116">
        <f t="shared" ref="L15:L32" si="1">I15/$H$5</f>
        <v>0</v>
      </c>
      <c r="N15" s="130"/>
    </row>
    <row r="16" spans="2:19" s="21" customFormat="1" x14ac:dyDescent="0.25">
      <c r="B16" s="102" t="s">
        <v>12</v>
      </c>
      <c r="C16" s="87"/>
      <c r="D16" s="95"/>
      <c r="E16" s="86"/>
      <c r="F16" s="66"/>
      <c r="G16" s="70"/>
      <c r="H16" s="68"/>
      <c r="I16" s="68"/>
      <c r="J16" s="117"/>
      <c r="K16" s="14"/>
      <c r="L16" s="116">
        <f t="shared" si="1"/>
        <v>0</v>
      </c>
      <c r="N16" s="14"/>
    </row>
    <row r="17" spans="2:14" s="21" customFormat="1" x14ac:dyDescent="0.25">
      <c r="B17" s="105" t="s">
        <v>13</v>
      </c>
      <c r="C17" s="89" t="s">
        <v>14</v>
      </c>
      <c r="D17" s="96" t="s">
        <v>15</v>
      </c>
      <c r="E17" s="79"/>
      <c r="F17" s="69"/>
      <c r="G17" s="66"/>
      <c r="H17" s="76"/>
      <c r="I17" s="78"/>
      <c r="J17" s="117"/>
      <c r="K17" s="14"/>
      <c r="L17" s="116">
        <f t="shared" si="1"/>
        <v>0</v>
      </c>
      <c r="N17" s="14"/>
    </row>
    <row r="18" spans="2:14" s="21" customFormat="1" x14ac:dyDescent="0.25">
      <c r="B18" s="104" t="s">
        <v>48</v>
      </c>
      <c r="C18" s="100">
        <v>0</v>
      </c>
      <c r="D18" s="101">
        <v>2</v>
      </c>
      <c r="E18" s="86"/>
      <c r="F18" s="66"/>
      <c r="G18" s="70"/>
      <c r="H18" s="78">
        <f>D18*115</f>
        <v>230</v>
      </c>
      <c r="I18" s="68"/>
      <c r="J18" s="117">
        <f>H18/$H$5</f>
        <v>57.5</v>
      </c>
      <c r="K18" s="14"/>
      <c r="L18" s="116">
        <f t="shared" si="1"/>
        <v>0</v>
      </c>
      <c r="N18" s="14"/>
    </row>
    <row r="19" spans="2:14" s="21" customFormat="1" x14ac:dyDescent="0.25">
      <c r="B19" s="104" t="s">
        <v>49</v>
      </c>
      <c r="C19" s="100">
        <v>0</v>
      </c>
      <c r="D19" s="101">
        <v>1</v>
      </c>
      <c r="E19" s="86"/>
      <c r="F19" s="66"/>
      <c r="G19" s="70"/>
      <c r="H19" s="78">
        <f>D19*115</f>
        <v>115</v>
      </c>
      <c r="I19" s="68"/>
      <c r="J19" s="117">
        <f t="shared" ref="J19:J22" si="2">H19/$H$5</f>
        <v>28.75</v>
      </c>
      <c r="K19" s="14"/>
      <c r="L19" s="116">
        <f t="shared" si="1"/>
        <v>0</v>
      </c>
      <c r="N19" s="14"/>
    </row>
    <row r="20" spans="2:14" s="21" customFormat="1" x14ac:dyDescent="0.25">
      <c r="B20" s="127" t="s">
        <v>47</v>
      </c>
      <c r="C20" s="100"/>
      <c r="D20" s="101">
        <v>0.5</v>
      </c>
      <c r="E20" s="86"/>
      <c r="F20" s="66"/>
      <c r="G20" s="70"/>
      <c r="H20" s="78">
        <f>D20*115</f>
        <v>57.5</v>
      </c>
      <c r="I20" s="68"/>
      <c r="J20" s="117"/>
      <c r="K20" s="14"/>
      <c r="L20" s="116"/>
      <c r="N20" s="14"/>
    </row>
    <row r="21" spans="2:14" s="21" customFormat="1" x14ac:dyDescent="0.25">
      <c r="B21" s="104"/>
      <c r="C21" s="100">
        <f>SUM(C18:C19)</f>
        <v>0</v>
      </c>
      <c r="D21" s="101"/>
      <c r="E21" s="86"/>
      <c r="F21" s="66"/>
      <c r="G21" s="70"/>
      <c r="H21" s="78"/>
      <c r="I21" s="68"/>
      <c r="J21" s="117">
        <f t="shared" si="2"/>
        <v>0</v>
      </c>
      <c r="K21" s="14"/>
      <c r="L21" s="116">
        <f t="shared" si="1"/>
        <v>0</v>
      </c>
      <c r="N21" s="14"/>
    </row>
    <row r="22" spans="2:14" s="21" customFormat="1" x14ac:dyDescent="0.25">
      <c r="B22" s="103" t="s">
        <v>16</v>
      </c>
      <c r="C22" s="88"/>
      <c r="D22" s="97"/>
      <c r="E22" s="86"/>
      <c r="F22" s="66"/>
      <c r="G22" s="70"/>
      <c r="H22" s="68">
        <f>15*D18</f>
        <v>30</v>
      </c>
      <c r="I22" s="68"/>
      <c r="J22" s="117">
        <f t="shared" si="2"/>
        <v>7.5</v>
      </c>
      <c r="K22" s="14"/>
      <c r="L22" s="116">
        <f t="shared" si="1"/>
        <v>0</v>
      </c>
      <c r="N22" s="14"/>
    </row>
    <row r="23" spans="2:14" s="21" customFormat="1" x14ac:dyDescent="0.25">
      <c r="B23" s="103" t="s">
        <v>69</v>
      </c>
      <c r="C23" s="88"/>
      <c r="D23" s="97"/>
      <c r="E23" s="86"/>
      <c r="F23" s="66"/>
      <c r="G23" s="70"/>
      <c r="H23" s="68">
        <v>0</v>
      </c>
      <c r="I23" s="68"/>
      <c r="J23" s="117">
        <f>H23/$H$5</f>
        <v>0</v>
      </c>
      <c r="K23" s="14"/>
      <c r="L23" s="116">
        <f t="shared" si="1"/>
        <v>0</v>
      </c>
      <c r="N23" s="14"/>
    </row>
    <row r="24" spans="2:14" s="21" customFormat="1" x14ac:dyDescent="0.25">
      <c r="B24" s="69" t="s">
        <v>17</v>
      </c>
      <c r="C24" s="65"/>
      <c r="D24" s="79"/>
      <c r="E24" s="79"/>
      <c r="F24" s="69"/>
      <c r="G24" s="66"/>
      <c r="H24" s="78">
        <v>100</v>
      </c>
      <c r="I24" s="78"/>
      <c r="J24" s="120"/>
      <c r="K24" s="14"/>
      <c r="L24" s="116">
        <f t="shared" si="1"/>
        <v>0</v>
      </c>
      <c r="N24" s="14"/>
    </row>
    <row r="25" spans="2:14" s="21" customFormat="1" x14ac:dyDescent="0.25">
      <c r="B25" s="69"/>
      <c r="C25" s="65"/>
      <c r="D25" s="79"/>
      <c r="E25" s="86"/>
      <c r="F25" s="66"/>
      <c r="G25" s="70"/>
      <c r="H25" s="84"/>
      <c r="I25" s="59"/>
      <c r="J25" s="117"/>
      <c r="K25" s="14"/>
      <c r="L25" s="116">
        <f t="shared" si="1"/>
        <v>0</v>
      </c>
      <c r="N25" s="14"/>
    </row>
    <row r="26" spans="2:14" s="25" customFormat="1" x14ac:dyDescent="0.25">
      <c r="B26" s="80" t="s">
        <v>18</v>
      </c>
      <c r="C26" s="72"/>
      <c r="D26" s="94"/>
      <c r="E26" s="91"/>
      <c r="F26" s="73"/>
      <c r="G26" s="74"/>
      <c r="H26" s="83"/>
      <c r="I26" s="60">
        <f>SUM(H18:H25)</f>
        <v>532.5</v>
      </c>
      <c r="J26" s="120"/>
      <c r="K26" s="23"/>
      <c r="L26" s="116">
        <f t="shared" si="1"/>
        <v>133.125</v>
      </c>
      <c r="N26" s="23"/>
    </row>
    <row r="27" spans="2:14" s="21" customFormat="1" x14ac:dyDescent="0.25">
      <c r="B27" s="77"/>
      <c r="C27" s="65"/>
      <c r="D27" s="79"/>
      <c r="E27" s="86"/>
      <c r="F27" s="66"/>
      <c r="G27" s="70"/>
      <c r="H27" s="78"/>
      <c r="I27" s="59"/>
      <c r="J27" s="117"/>
      <c r="K27" s="14"/>
      <c r="L27" s="116">
        <f t="shared" si="1"/>
        <v>0</v>
      </c>
      <c r="N27" s="14"/>
    </row>
    <row r="28" spans="2:14" s="25" customFormat="1" x14ac:dyDescent="0.25">
      <c r="B28" s="80" t="s">
        <v>19</v>
      </c>
      <c r="C28" s="72"/>
      <c r="D28" s="94"/>
      <c r="E28" s="91"/>
      <c r="F28" s="73"/>
      <c r="G28" s="74"/>
      <c r="H28" s="81"/>
      <c r="I28" s="75">
        <f>I14+I26</f>
        <v>1299.1666666666667</v>
      </c>
      <c r="J28" s="120"/>
      <c r="K28" s="23"/>
      <c r="L28" s="116">
        <f t="shared" si="1"/>
        <v>324.79166666666669</v>
      </c>
      <c r="N28" s="23"/>
    </row>
    <row r="29" spans="2:14" s="21" customFormat="1" x14ac:dyDescent="0.25">
      <c r="B29" s="77"/>
      <c r="C29" s="65"/>
      <c r="D29" s="79"/>
      <c r="E29" s="86"/>
      <c r="F29" s="66"/>
      <c r="G29" s="70"/>
      <c r="H29" s="78"/>
      <c r="I29" s="68"/>
      <c r="J29" s="117"/>
      <c r="K29" s="14"/>
      <c r="L29" s="116">
        <f t="shared" si="1"/>
        <v>0</v>
      </c>
      <c r="N29" s="14"/>
    </row>
    <row r="30" spans="2:14" s="21" customFormat="1" x14ac:dyDescent="0.25">
      <c r="B30" s="69"/>
      <c r="C30" s="65"/>
      <c r="D30" s="79"/>
      <c r="E30" s="86"/>
      <c r="F30" s="66"/>
      <c r="G30" s="70"/>
      <c r="H30" s="76"/>
      <c r="I30" s="68"/>
      <c r="J30" s="117"/>
      <c r="K30" s="14"/>
      <c r="L30" s="116">
        <f t="shared" si="1"/>
        <v>0</v>
      </c>
      <c r="N30" s="14"/>
    </row>
    <row r="31" spans="2:14" s="21" customFormat="1" x14ac:dyDescent="0.25">
      <c r="B31" s="69" t="s">
        <v>20</v>
      </c>
      <c r="C31" s="65"/>
      <c r="D31" s="79"/>
      <c r="E31" s="79"/>
      <c r="F31" s="69"/>
      <c r="G31" s="69"/>
      <c r="H31" s="113"/>
      <c r="I31" s="98">
        <f>I28*1.1*0.4</f>
        <v>571.63333333333344</v>
      </c>
      <c r="J31" s="125">
        <f>I31/I28</f>
        <v>0.44000000000000006</v>
      </c>
      <c r="K31" s="14"/>
      <c r="L31" s="116">
        <f t="shared" si="1"/>
        <v>142.90833333333336</v>
      </c>
      <c r="N31" s="14"/>
    </row>
    <row r="32" spans="2:14" s="21" customFormat="1" x14ac:dyDescent="0.25">
      <c r="B32" s="69"/>
      <c r="C32" s="65"/>
      <c r="D32" s="79"/>
      <c r="E32" s="86"/>
      <c r="F32" s="66"/>
      <c r="G32" s="70"/>
      <c r="H32" s="76"/>
      <c r="I32" s="59"/>
      <c r="J32" s="117"/>
      <c r="K32" s="14"/>
      <c r="L32" s="116">
        <f t="shared" si="1"/>
        <v>0</v>
      </c>
      <c r="N32" s="14"/>
    </row>
    <row r="33" spans="2:14" s="21" customFormat="1" x14ac:dyDescent="0.25">
      <c r="B33" s="71" t="s">
        <v>21</v>
      </c>
      <c r="C33" s="65"/>
      <c r="D33" s="79"/>
      <c r="E33" s="86"/>
      <c r="F33" s="66"/>
      <c r="G33" s="70"/>
      <c r="H33" s="68">
        <v>0</v>
      </c>
      <c r="I33" s="60">
        <f>I28+I31</f>
        <v>1870.8000000000002</v>
      </c>
      <c r="J33" s="117"/>
      <c r="K33" s="14"/>
      <c r="L33" s="116">
        <f>I33/$H$5</f>
        <v>467.70000000000005</v>
      </c>
      <c r="N33" s="14"/>
    </row>
    <row r="34" spans="2:14" s="21" customFormat="1" x14ac:dyDescent="0.25">
      <c r="B34" s="69"/>
      <c r="C34" s="65"/>
      <c r="D34" s="79"/>
      <c r="E34" s="79"/>
      <c r="F34" s="69"/>
      <c r="G34" s="70"/>
      <c r="H34" s="68">
        <v>0</v>
      </c>
      <c r="I34" s="59"/>
      <c r="J34" s="117"/>
      <c r="K34" s="14"/>
      <c r="L34" s="20"/>
      <c r="N34" s="14"/>
    </row>
    <row r="35" spans="2:14" s="21" customFormat="1" x14ac:dyDescent="0.25">
      <c r="B35" s="69" t="s">
        <v>22</v>
      </c>
      <c r="C35" s="65"/>
      <c r="D35" s="79"/>
      <c r="E35" s="79"/>
      <c r="F35" s="69"/>
      <c r="G35" s="70"/>
      <c r="H35" s="78">
        <f t="shared" ref="H35" si="3">G35*E35</f>
        <v>0</v>
      </c>
      <c r="I35" s="78"/>
      <c r="J35" s="117"/>
      <c r="K35" s="14"/>
      <c r="L35" s="20"/>
      <c r="N35" s="14"/>
    </row>
    <row r="36" spans="2:14" s="21" customFormat="1" x14ac:dyDescent="0.25">
      <c r="B36" s="69" t="s">
        <v>23</v>
      </c>
      <c r="C36" s="65"/>
      <c r="D36" s="79"/>
      <c r="E36" s="79"/>
      <c r="F36" s="69"/>
      <c r="G36" s="82"/>
      <c r="H36" s="78"/>
      <c r="I36" s="78"/>
      <c r="J36" s="117"/>
      <c r="K36" s="14"/>
      <c r="L36" s="20"/>
      <c r="N36" s="14"/>
    </row>
    <row r="37" spans="2:14" s="21" customFormat="1" x14ac:dyDescent="0.25">
      <c r="B37" s="69" t="s">
        <v>24</v>
      </c>
      <c r="C37" s="65"/>
      <c r="D37" s="79"/>
      <c r="E37" s="79"/>
      <c r="F37" s="69"/>
      <c r="G37" s="66"/>
      <c r="H37" s="76"/>
      <c r="I37" s="78"/>
      <c r="J37" s="117"/>
      <c r="K37" s="14"/>
      <c r="L37" s="20"/>
      <c r="N37" s="14"/>
    </row>
    <row r="38" spans="2:14" s="21" customFormat="1" ht="15.75" thickBot="1" x14ac:dyDescent="0.3">
      <c r="B38" s="55"/>
      <c r="C38" s="56"/>
      <c r="D38" s="58"/>
      <c r="E38" s="58"/>
      <c r="F38" s="55"/>
      <c r="G38" s="57"/>
      <c r="H38" s="61"/>
      <c r="I38" s="62"/>
      <c r="J38" s="121"/>
      <c r="K38" s="56"/>
      <c r="L38" s="58"/>
      <c r="N38" s="14"/>
    </row>
    <row r="39" spans="2:14" x14ac:dyDescent="0.25">
      <c r="N39" s="14"/>
    </row>
    <row r="40" spans="2:14" x14ac:dyDescent="0.25">
      <c r="B40" t="s">
        <v>25</v>
      </c>
      <c r="D40" s="28">
        <v>0.2</v>
      </c>
      <c r="E40" s="29"/>
      <c r="F40" s="29"/>
      <c r="G40" s="28">
        <v>0.15</v>
      </c>
      <c r="H40" s="30"/>
      <c r="I40" s="28">
        <v>0.1</v>
      </c>
    </row>
    <row r="41" spans="2:14" x14ac:dyDescent="0.25">
      <c r="H41" s="31"/>
    </row>
    <row r="42" spans="2:14" s="27" customFormat="1" ht="15.75" thickBot="1" x14ac:dyDescent="0.3">
      <c r="B42" s="27" t="s">
        <v>26</v>
      </c>
      <c r="D42" s="32">
        <f>I33*D40+I33</f>
        <v>2244.96</v>
      </c>
      <c r="G42" s="33">
        <f>I33*G40+I33</f>
        <v>2151.42</v>
      </c>
      <c r="H42" s="34"/>
      <c r="I42" s="33">
        <f>I33*I40+I33</f>
        <v>2057.88</v>
      </c>
      <c r="J42" s="122"/>
      <c r="N42" s="26"/>
    </row>
    <row r="43" spans="2:14" ht="15.75" thickTop="1" x14ac:dyDescent="0.25">
      <c r="D43" s="19"/>
      <c r="H43" s="31"/>
    </row>
    <row r="44" spans="2:14" x14ac:dyDescent="0.25">
      <c r="B44" t="s">
        <v>27</v>
      </c>
      <c r="D44" s="19">
        <f>D42-I28</f>
        <v>945.79333333333329</v>
      </c>
      <c r="E44" s="31">
        <f>D44/D42</f>
        <v>0.42129629629629628</v>
      </c>
      <c r="F44" s="31"/>
      <c r="G44" s="35">
        <f>G42-I28</f>
        <v>852.25333333333333</v>
      </c>
      <c r="H44" s="45">
        <f>G44/G42</f>
        <v>0.39613526570048307</v>
      </c>
      <c r="I44" s="35">
        <f>I42-I28</f>
        <v>758.71333333333337</v>
      </c>
      <c r="J44" s="123">
        <f>I44/I42</f>
        <v>0.36868686868686867</v>
      </c>
    </row>
    <row r="45" spans="2:14" x14ac:dyDescent="0.25">
      <c r="D45" s="19"/>
      <c r="E45" s="31"/>
      <c r="F45" s="31"/>
      <c r="H45" s="45"/>
      <c r="J45" s="123"/>
    </row>
    <row r="46" spans="2:14" x14ac:dyDescent="0.25">
      <c r="B46" t="s">
        <v>20</v>
      </c>
      <c r="D46" s="19">
        <f>-I31</f>
        <v>-571.63333333333344</v>
      </c>
      <c r="E46" s="31"/>
      <c r="F46" s="31"/>
      <c r="G46" s="35">
        <f>-I31</f>
        <v>-571.63333333333344</v>
      </c>
      <c r="H46" s="45"/>
      <c r="I46" s="35">
        <f>-I31</f>
        <v>-571.63333333333344</v>
      </c>
      <c r="J46" s="123"/>
    </row>
    <row r="47" spans="2:14" x14ac:dyDescent="0.25">
      <c r="D47" s="19"/>
      <c r="E47" s="31"/>
      <c r="F47" s="31"/>
      <c r="H47" s="45"/>
      <c r="J47" s="123"/>
    </row>
    <row r="48" spans="2:14" s="27" customFormat="1" ht="15.75" thickBot="1" x14ac:dyDescent="0.3">
      <c r="B48" s="27" t="s">
        <v>28</v>
      </c>
      <c r="D48" s="36">
        <f>SUM(D44:D47)</f>
        <v>374.15999999999985</v>
      </c>
      <c r="E48" s="34">
        <f>D48/D42</f>
        <v>0.1666666666666666</v>
      </c>
      <c r="F48" s="34"/>
      <c r="G48" s="37">
        <f>G44+G46</f>
        <v>280.61999999999989</v>
      </c>
      <c r="H48" s="46">
        <f>G48/G42</f>
        <v>0.13043478260869559</v>
      </c>
      <c r="I48" s="37">
        <f>I44+I46</f>
        <v>187.07999999999993</v>
      </c>
      <c r="J48" s="124">
        <f>I48/I42</f>
        <v>9.090909090909087E-2</v>
      </c>
      <c r="N48" s="26"/>
    </row>
    <row r="49" spans="2:19" ht="15.75" thickTop="1" x14ac:dyDescent="0.25">
      <c r="B49" s="25"/>
      <c r="C49" s="25"/>
      <c r="D49" s="38"/>
      <c r="E49" s="39"/>
      <c r="F49" s="39"/>
      <c r="H49" s="45"/>
    </row>
    <row r="50" spans="2:19" x14ac:dyDescent="0.25">
      <c r="D50" s="40" t="s">
        <v>8</v>
      </c>
      <c r="E50" s="40"/>
      <c r="F50" s="40"/>
      <c r="G50" s="40" t="s">
        <v>8</v>
      </c>
      <c r="H50" s="31"/>
      <c r="I50" s="40" t="s">
        <v>8</v>
      </c>
    </row>
    <row r="51" spans="2:19" x14ac:dyDescent="0.25">
      <c r="B51" t="s">
        <v>29</v>
      </c>
      <c r="D51" s="41">
        <f>D42*L4</f>
        <v>13469.76</v>
      </c>
      <c r="E51" s="41"/>
      <c r="F51" s="41"/>
      <c r="G51" s="43">
        <f>G42*L4</f>
        <v>12908.52</v>
      </c>
      <c r="H51" s="44"/>
      <c r="I51" s="43">
        <f>I42*L4</f>
        <v>12347.28</v>
      </c>
    </row>
    <row r="52" spans="2:19" x14ac:dyDescent="0.25">
      <c r="D52" s="42"/>
      <c r="E52" s="42"/>
      <c r="F52" s="42"/>
      <c r="G52" s="42"/>
      <c r="H52" s="44"/>
      <c r="I52" s="42"/>
      <c r="N52"/>
    </row>
    <row r="53" spans="2:19" x14ac:dyDescent="0.25">
      <c r="B53" t="s">
        <v>28</v>
      </c>
      <c r="D53" s="43">
        <f>D48*L4</f>
        <v>2244.9599999999991</v>
      </c>
      <c r="E53" s="42"/>
      <c r="F53" s="42"/>
      <c r="G53" s="43">
        <f>G48*L4</f>
        <v>1683.7199999999993</v>
      </c>
      <c r="H53" s="44"/>
      <c r="I53" s="43">
        <f>I48*L4</f>
        <v>1122.4799999999996</v>
      </c>
      <c r="N53"/>
    </row>
    <row r="54" spans="2:19" x14ac:dyDescent="0.25">
      <c r="D54" s="43"/>
      <c r="E54" s="42"/>
      <c r="F54" s="42"/>
      <c r="G54" s="42"/>
      <c r="H54" s="43"/>
      <c r="I54" s="43"/>
      <c r="N54"/>
    </row>
    <row r="55" spans="2:19" x14ac:dyDescent="0.25">
      <c r="B55" t="s">
        <v>68</v>
      </c>
      <c r="D55" s="43">
        <f>D42/$H$5</f>
        <v>561.24</v>
      </c>
      <c r="E55" s="42"/>
      <c r="F55" s="42"/>
      <c r="G55" s="43">
        <f>G42/$H$5</f>
        <v>537.85500000000002</v>
      </c>
      <c r="H55" s="43"/>
      <c r="I55" s="43">
        <f>I42/$H$5</f>
        <v>514.47</v>
      </c>
      <c r="N55"/>
    </row>
    <row r="56" spans="2:19" x14ac:dyDescent="0.25">
      <c r="D56" s="43"/>
      <c r="E56" s="42"/>
      <c r="F56" s="42"/>
      <c r="G56" s="42"/>
      <c r="H56" s="43"/>
      <c r="I56" s="43"/>
      <c r="N56"/>
    </row>
    <row r="58" spans="2:19" x14ac:dyDescent="0.25">
      <c r="B58" t="s">
        <v>30</v>
      </c>
      <c r="I58" t="s">
        <v>31</v>
      </c>
    </row>
    <row r="59" spans="2:19" x14ac:dyDescent="0.25">
      <c r="B59" t="s">
        <v>32</v>
      </c>
    </row>
    <row r="60" spans="2:19" s="19" customFormat="1" x14ac:dyDescent="0.25">
      <c r="B60"/>
      <c r="C60"/>
      <c r="D60"/>
      <c r="E60"/>
      <c r="F60"/>
      <c r="G60"/>
      <c r="H60"/>
      <c r="I60" t="s">
        <v>33</v>
      </c>
      <c r="K60"/>
      <c r="L60"/>
      <c r="M60"/>
      <c r="N60" s="1"/>
      <c r="O60"/>
      <c r="P60"/>
      <c r="Q60"/>
      <c r="R60"/>
      <c r="S60"/>
    </row>
    <row r="61" spans="2:19" s="19" customFormat="1" x14ac:dyDescent="0.25">
      <c r="B61" t="s">
        <v>34</v>
      </c>
      <c r="C61" t="s">
        <v>35</v>
      </c>
      <c r="D61"/>
      <c r="E61" t="s">
        <v>30</v>
      </c>
      <c r="F61"/>
      <c r="G61" t="s">
        <v>36</v>
      </c>
      <c r="H61"/>
      <c r="I61"/>
      <c r="K61"/>
      <c r="L61"/>
      <c r="M61"/>
      <c r="N61" s="1"/>
      <c r="O61"/>
      <c r="P61"/>
      <c r="Q61"/>
      <c r="R61"/>
      <c r="S61"/>
    </row>
    <row r="62" spans="2:19" s="19" customFormat="1" ht="15" customHeight="1" x14ac:dyDescent="0.25">
      <c r="B62" t="s">
        <v>37</v>
      </c>
      <c r="C62" t="s">
        <v>38</v>
      </c>
      <c r="D62"/>
      <c r="E62" s="108" t="s">
        <v>50</v>
      </c>
      <c r="F62"/>
      <c r="G62" t="s">
        <v>39</v>
      </c>
      <c r="H62"/>
      <c r="I62" t="s">
        <v>40</v>
      </c>
      <c r="K62" s="122">
        <f>2750</f>
        <v>2750</v>
      </c>
      <c r="L62"/>
      <c r="M62"/>
      <c r="N62" s="1"/>
      <c r="O62"/>
      <c r="P62"/>
      <c r="Q62"/>
      <c r="R62"/>
      <c r="S62"/>
    </row>
    <row r="63" spans="2:19" s="19" customFormat="1" x14ac:dyDescent="0.25">
      <c r="B63"/>
      <c r="C63"/>
      <c r="D63"/>
      <c r="E63" s="107"/>
      <c r="F63"/>
      <c r="G63"/>
      <c r="H63"/>
      <c r="I63"/>
      <c r="K63"/>
      <c r="L63"/>
      <c r="M63"/>
      <c r="N63" s="1"/>
      <c r="O63"/>
      <c r="P63"/>
      <c r="Q63"/>
      <c r="R63"/>
      <c r="S63"/>
    </row>
    <row r="65" spans="8:10" x14ac:dyDescent="0.25">
      <c r="H65" t="s">
        <v>76</v>
      </c>
      <c r="J65" s="19">
        <f>$K$62*$L$4</f>
        <v>16500</v>
      </c>
    </row>
    <row r="67" spans="8:10" x14ac:dyDescent="0.25">
      <c r="H67" t="s">
        <v>77</v>
      </c>
      <c r="J67" s="19">
        <f>$I$33*$L$4</f>
        <v>11224.800000000001</v>
      </c>
    </row>
  </sheetData>
  <mergeCells count="3">
    <mergeCell ref="J2:L2"/>
    <mergeCell ref="J6:L6"/>
    <mergeCell ref="B7:D7"/>
  </mergeCells>
  <pageMargins left="0.7" right="0.45" top="0.46" bottom="0.4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1:T86"/>
  <sheetViews>
    <sheetView tabSelected="1" workbookViewId="0">
      <selection activeCell="P9" sqref="P9"/>
    </sheetView>
  </sheetViews>
  <sheetFormatPr defaultRowHeight="15" x14ac:dyDescent="0.25"/>
  <cols>
    <col min="1" max="1" width="1.7109375" customWidth="1"/>
    <col min="2" max="2" width="15.7109375" customWidth="1"/>
    <col min="3" max="3" width="8.140625" customWidth="1"/>
    <col min="4" max="4" width="19.140625" customWidth="1"/>
    <col min="5" max="7" width="7.7109375" customWidth="1"/>
    <col min="8" max="8" width="11.5703125" customWidth="1"/>
    <col min="9" max="10" width="11.7109375" customWidth="1"/>
    <col min="11" max="11" width="10.5703125" bestFit="1" customWidth="1"/>
    <col min="12" max="12" width="11.28515625" customWidth="1"/>
    <col min="13" max="13" width="9.5703125" customWidth="1"/>
    <col min="14" max="14" width="10.7109375" customWidth="1"/>
    <col min="15" max="15" width="9.140625" style="1"/>
    <col min="17" max="17" width="11.5703125" customWidth="1"/>
    <col min="18" max="18" width="10.85546875" customWidth="1"/>
  </cols>
  <sheetData>
    <row r="1" spans="2:20" ht="15.75" thickBot="1" x14ac:dyDescent="0.3">
      <c r="M1">
        <v>1</v>
      </c>
    </row>
    <row r="2" spans="2:20" ht="16.5" thickBot="1" x14ac:dyDescent="0.35">
      <c r="B2" s="2"/>
      <c r="C2" s="3"/>
      <c r="D2" s="3"/>
      <c r="E2" s="4" t="s">
        <v>0</v>
      </c>
      <c r="F2" s="4"/>
      <c r="G2" s="4"/>
      <c r="H2" s="4"/>
      <c r="I2" s="5"/>
      <c r="J2" s="5"/>
      <c r="K2" s="169" t="s">
        <v>118</v>
      </c>
      <c r="L2" s="169"/>
      <c r="M2" s="170"/>
    </row>
    <row r="3" spans="2:20" ht="15.75" thickBot="1" x14ac:dyDescent="0.3">
      <c r="B3" s="6" t="s">
        <v>1</v>
      </c>
      <c r="C3" s="3" t="s">
        <v>116</v>
      </c>
      <c r="D3" s="3"/>
      <c r="E3" s="173"/>
      <c r="F3" s="173"/>
      <c r="G3" s="173"/>
      <c r="H3" s="173"/>
      <c r="I3" s="7"/>
      <c r="J3" s="3"/>
      <c r="K3" s="2" t="s">
        <v>113</v>
      </c>
      <c r="L3" s="3"/>
      <c r="M3" s="128">
        <v>5</v>
      </c>
    </row>
    <row r="4" spans="2:20" ht="15.75" thickBot="1" x14ac:dyDescent="0.3">
      <c r="B4" s="8" t="s">
        <v>3</v>
      </c>
      <c r="C4" s="9" t="s">
        <v>72</v>
      </c>
      <c r="D4" s="9"/>
      <c r="E4" s="9"/>
      <c r="F4" s="9"/>
      <c r="G4" s="171" t="s">
        <v>119</v>
      </c>
      <c r="H4" s="171"/>
      <c r="I4" s="10"/>
      <c r="J4" s="9"/>
      <c r="K4" s="2" t="s">
        <v>4</v>
      </c>
      <c r="L4" s="3"/>
      <c r="M4" s="143">
        <v>1</v>
      </c>
    </row>
    <row r="5" spans="2:20" ht="16.5" customHeight="1" thickBot="1" x14ac:dyDescent="0.3">
      <c r="B5" s="6" t="s">
        <v>5</v>
      </c>
      <c r="C5" s="12" t="s">
        <v>120</v>
      </c>
      <c r="D5" s="3"/>
      <c r="E5" s="3"/>
      <c r="F5" s="3"/>
      <c r="G5" s="12"/>
      <c r="H5" s="3"/>
      <c r="I5" s="13" t="s">
        <v>63</v>
      </c>
      <c r="J5" s="157">
        <v>8</v>
      </c>
      <c r="K5" s="2"/>
      <c r="L5" s="3"/>
      <c r="M5" s="7"/>
    </row>
    <row r="6" spans="2:20" ht="15.75" thickBot="1" x14ac:dyDescent="0.3">
      <c r="B6" s="6" t="s">
        <v>6</v>
      </c>
      <c r="C6" s="3"/>
      <c r="D6" s="3"/>
      <c r="E6" s="2"/>
      <c r="F6" s="3"/>
      <c r="G6" s="3"/>
      <c r="H6" s="12"/>
      <c r="I6" s="7"/>
      <c r="J6" s="3"/>
      <c r="K6" s="172" t="s">
        <v>87</v>
      </c>
      <c r="L6" s="173"/>
      <c r="M6" s="174"/>
    </row>
    <row r="7" spans="2:20" ht="30" customHeight="1" thickBot="1" x14ac:dyDescent="0.3">
      <c r="B7" s="166" t="s">
        <v>42</v>
      </c>
      <c r="C7" s="167"/>
      <c r="D7" s="168"/>
      <c r="E7" s="47" t="s">
        <v>7</v>
      </c>
      <c r="F7" s="160" t="s">
        <v>115</v>
      </c>
      <c r="G7" s="47" t="s">
        <v>43</v>
      </c>
      <c r="H7" s="142" t="s">
        <v>44</v>
      </c>
      <c r="I7" s="47" t="s">
        <v>45</v>
      </c>
      <c r="J7" s="48" t="s">
        <v>46</v>
      </c>
      <c r="K7" s="6" t="s">
        <v>9</v>
      </c>
      <c r="L7" s="12"/>
      <c r="M7" s="13"/>
      <c r="O7" s="14"/>
      <c r="P7" s="14"/>
      <c r="Q7" s="14"/>
      <c r="R7" s="14"/>
      <c r="S7" s="14"/>
      <c r="T7" s="14"/>
    </row>
    <row r="8" spans="2:20" s="21" customFormat="1" ht="25.5" customHeight="1" x14ac:dyDescent="0.25">
      <c r="B8" s="92" t="s">
        <v>10</v>
      </c>
      <c r="C8" s="93"/>
      <c r="D8" s="54"/>
      <c r="E8" s="90"/>
      <c r="F8" s="16"/>
      <c r="G8" s="18"/>
      <c r="H8" s="49"/>
      <c r="I8" s="50"/>
      <c r="J8" s="51"/>
      <c r="K8" s="52"/>
      <c r="L8" s="53"/>
      <c r="M8" s="54"/>
      <c r="O8" s="14"/>
      <c r="P8" s="14"/>
      <c r="Q8" s="14"/>
      <c r="R8" s="14"/>
      <c r="S8" s="14"/>
      <c r="T8" s="14"/>
    </row>
    <row r="9" spans="2:20" s="21" customFormat="1" x14ac:dyDescent="0.25">
      <c r="B9" s="64" t="s">
        <v>97</v>
      </c>
      <c r="C9" s="65"/>
      <c r="D9" s="79"/>
      <c r="E9" s="158">
        <f t="shared" ref="E9:E32" si="0">F9/$M$3*$J$5</f>
        <v>0.32</v>
      </c>
      <c r="F9" s="154">
        <f>1/5</f>
        <v>0.2</v>
      </c>
      <c r="G9" s="66" t="s">
        <v>41</v>
      </c>
      <c r="H9" s="159">
        <v>11000</v>
      </c>
      <c r="I9" s="68">
        <f t="shared" ref="I9:I33" si="1">E9*H9</f>
        <v>3520</v>
      </c>
      <c r="J9" s="68"/>
      <c r="K9" s="17"/>
      <c r="L9" s="14"/>
      <c r="M9" s="20"/>
      <c r="O9" s="14"/>
      <c r="P9" s="15"/>
      <c r="Q9" s="14"/>
      <c r="R9" s="15"/>
      <c r="S9" s="16"/>
      <c r="T9" s="14"/>
    </row>
    <row r="10" spans="2:20" s="21" customFormat="1" x14ac:dyDescent="0.25">
      <c r="B10" s="64" t="s">
        <v>117</v>
      </c>
      <c r="C10" s="65"/>
      <c r="D10" s="79"/>
      <c r="E10" s="158">
        <f t="shared" si="0"/>
        <v>0.32</v>
      </c>
      <c r="F10" s="154">
        <f>1/5</f>
        <v>0.2</v>
      </c>
      <c r="G10" s="66" t="s">
        <v>41</v>
      </c>
      <c r="H10" s="159">
        <v>26225</v>
      </c>
      <c r="I10" s="68">
        <f t="shared" si="1"/>
        <v>8392</v>
      </c>
      <c r="J10" s="68"/>
      <c r="K10" s="17"/>
      <c r="L10" s="14"/>
      <c r="M10" s="20"/>
      <c r="O10" s="14"/>
      <c r="P10" s="15"/>
      <c r="Q10" s="14"/>
      <c r="R10" s="15"/>
      <c r="S10" s="16"/>
      <c r="T10" s="14"/>
    </row>
    <row r="11" spans="2:20" s="21" customFormat="1" x14ac:dyDescent="0.25">
      <c r="B11" s="64" t="s">
        <v>103</v>
      </c>
      <c r="C11" s="65"/>
      <c r="D11" s="79"/>
      <c r="E11" s="158">
        <f t="shared" si="0"/>
        <v>0.26666666666666666</v>
      </c>
      <c r="F11" s="154">
        <f>1/6</f>
        <v>0.16666666666666666</v>
      </c>
      <c r="G11" s="66" t="s">
        <v>41</v>
      </c>
      <c r="H11" s="159">
        <v>3000</v>
      </c>
      <c r="I11" s="68">
        <f t="shared" si="1"/>
        <v>800</v>
      </c>
      <c r="J11" s="68"/>
      <c r="K11" s="17"/>
      <c r="L11" s="14"/>
      <c r="M11" s="20"/>
      <c r="O11" s="14"/>
      <c r="P11" s="15"/>
      <c r="Q11" s="14"/>
      <c r="R11" s="15"/>
      <c r="S11" s="16"/>
      <c r="T11" s="14"/>
    </row>
    <row r="12" spans="2:20" s="21" customFormat="1" x14ac:dyDescent="0.25">
      <c r="B12" s="64" t="s">
        <v>104</v>
      </c>
      <c r="C12" s="65"/>
      <c r="D12" s="79"/>
      <c r="E12" s="158">
        <f t="shared" si="0"/>
        <v>22.4</v>
      </c>
      <c r="F12" s="154">
        <v>14</v>
      </c>
      <c r="G12" s="66" t="s">
        <v>41</v>
      </c>
      <c r="H12" s="159">
        <v>45</v>
      </c>
      <c r="I12" s="68">
        <f t="shared" si="1"/>
        <v>1007.9999999999999</v>
      </c>
      <c r="J12" s="68"/>
      <c r="K12" s="17"/>
      <c r="L12" s="14"/>
      <c r="M12" s="20"/>
      <c r="O12" s="14"/>
      <c r="P12" s="15"/>
      <c r="Q12" s="14"/>
      <c r="R12" s="15"/>
      <c r="S12" s="16"/>
      <c r="T12" s="14"/>
    </row>
    <row r="13" spans="2:20" s="21" customFormat="1" x14ac:dyDescent="0.25">
      <c r="B13" s="64" t="s">
        <v>105</v>
      </c>
      <c r="C13" s="65"/>
      <c r="D13" s="79"/>
      <c r="E13" s="158">
        <f t="shared" si="0"/>
        <v>48</v>
      </c>
      <c r="F13" s="154">
        <v>30</v>
      </c>
      <c r="G13" s="66" t="s">
        <v>41</v>
      </c>
      <c r="H13" s="159">
        <v>30</v>
      </c>
      <c r="I13" s="68">
        <f t="shared" si="1"/>
        <v>1440</v>
      </c>
      <c r="J13" s="68"/>
      <c r="K13" s="17"/>
      <c r="L13" s="14"/>
      <c r="M13" s="20"/>
      <c r="O13" s="14"/>
      <c r="P13" s="15"/>
      <c r="Q13" s="14"/>
      <c r="R13" s="15"/>
      <c r="S13" s="16"/>
      <c r="T13" s="14"/>
    </row>
    <row r="14" spans="2:20" s="21" customFormat="1" x14ac:dyDescent="0.25">
      <c r="B14" s="64" t="s">
        <v>106</v>
      </c>
      <c r="C14" s="65"/>
      <c r="D14" s="79"/>
      <c r="E14" s="158">
        <f t="shared" si="0"/>
        <v>8</v>
      </c>
      <c r="F14" s="154">
        <v>5</v>
      </c>
      <c r="G14" s="66" t="s">
        <v>63</v>
      </c>
      <c r="H14" s="159">
        <v>50</v>
      </c>
      <c r="I14" s="68">
        <f t="shared" si="1"/>
        <v>400</v>
      </c>
      <c r="J14" s="68"/>
      <c r="K14" s="17"/>
      <c r="L14" s="14"/>
      <c r="M14" s="20"/>
      <c r="O14" s="14"/>
      <c r="P14" s="15"/>
      <c r="Q14" s="14"/>
      <c r="R14" s="15"/>
      <c r="S14" s="16"/>
      <c r="T14" s="14"/>
    </row>
    <row r="15" spans="2:20" s="21" customFormat="1" x14ac:dyDescent="0.25">
      <c r="B15" s="64" t="s">
        <v>107</v>
      </c>
      <c r="C15" s="65"/>
      <c r="D15" s="79"/>
      <c r="E15" s="158">
        <f t="shared" si="0"/>
        <v>1.6</v>
      </c>
      <c r="F15" s="154">
        <v>1</v>
      </c>
      <c r="G15" s="66" t="s">
        <v>63</v>
      </c>
      <c r="H15" s="159">
        <v>50</v>
      </c>
      <c r="I15" s="68">
        <f t="shared" si="1"/>
        <v>80</v>
      </c>
      <c r="J15" s="68"/>
      <c r="K15" s="17"/>
      <c r="L15" s="14"/>
      <c r="M15" s="20"/>
      <c r="O15" s="14"/>
      <c r="P15" s="15"/>
      <c r="Q15" s="14"/>
      <c r="R15" s="15"/>
      <c r="S15" s="16"/>
      <c r="T15" s="14"/>
    </row>
    <row r="16" spans="2:20" s="21" customFormat="1" x14ac:dyDescent="0.25">
      <c r="B16" s="64" t="s">
        <v>98</v>
      </c>
      <c r="C16" s="65"/>
      <c r="D16" s="79"/>
      <c r="E16" s="158">
        <f t="shared" si="0"/>
        <v>8</v>
      </c>
      <c r="F16" s="144">
        <v>5</v>
      </c>
      <c r="G16" s="66" t="s">
        <v>63</v>
      </c>
      <c r="H16" s="159">
        <v>110</v>
      </c>
      <c r="I16" s="68">
        <f t="shared" si="1"/>
        <v>880</v>
      </c>
      <c r="J16" s="68"/>
      <c r="K16" s="17"/>
      <c r="L16" s="14"/>
      <c r="M16" s="20"/>
      <c r="O16" s="14"/>
      <c r="P16" s="15"/>
      <c r="Q16" s="14"/>
      <c r="R16" s="15"/>
      <c r="S16" s="16"/>
      <c r="T16" s="14"/>
    </row>
    <row r="17" spans="2:20" s="21" customFormat="1" x14ac:dyDescent="0.25">
      <c r="B17" s="64" t="s">
        <v>108</v>
      </c>
      <c r="C17" s="65"/>
      <c r="D17" s="79"/>
      <c r="E17" s="158">
        <f t="shared" si="0"/>
        <v>8</v>
      </c>
      <c r="F17" s="156">
        <v>5</v>
      </c>
      <c r="G17" s="66" t="s">
        <v>63</v>
      </c>
      <c r="H17" s="159">
        <v>70</v>
      </c>
      <c r="I17" s="68">
        <f t="shared" si="1"/>
        <v>560</v>
      </c>
      <c r="J17" s="68"/>
      <c r="K17" s="17"/>
      <c r="L17" s="14"/>
      <c r="M17" s="20"/>
      <c r="O17" s="14"/>
      <c r="P17" s="15"/>
      <c r="Q17" s="14"/>
      <c r="R17" s="15"/>
      <c r="S17" s="16"/>
      <c r="T17" s="14"/>
    </row>
    <row r="18" spans="2:20" s="21" customFormat="1" x14ac:dyDescent="0.25">
      <c r="B18" s="64" t="s">
        <v>88</v>
      </c>
      <c r="C18" s="65"/>
      <c r="D18" s="79"/>
      <c r="E18" s="158">
        <f t="shared" si="0"/>
        <v>0.8</v>
      </c>
      <c r="F18" s="154">
        <f>1/2</f>
        <v>0.5</v>
      </c>
      <c r="G18" s="66" t="s">
        <v>41</v>
      </c>
      <c r="H18" s="159">
        <v>1950</v>
      </c>
      <c r="I18" s="68">
        <f t="shared" si="1"/>
        <v>1560</v>
      </c>
      <c r="J18" s="68"/>
      <c r="K18" s="17"/>
      <c r="L18" s="14"/>
      <c r="M18" s="20"/>
      <c r="O18" s="14"/>
      <c r="P18" s="15"/>
      <c r="Q18" s="14"/>
      <c r="R18" s="15"/>
      <c r="S18" s="16"/>
      <c r="T18" s="14"/>
    </row>
    <row r="19" spans="2:20" s="21" customFormat="1" x14ac:dyDescent="0.25">
      <c r="B19" s="64" t="s">
        <v>94</v>
      </c>
      <c r="C19" s="65"/>
      <c r="D19" s="79"/>
      <c r="E19" s="158">
        <f t="shared" si="0"/>
        <v>1.6</v>
      </c>
      <c r="F19" s="144">
        <v>1</v>
      </c>
      <c r="G19" s="66" t="s">
        <v>41</v>
      </c>
      <c r="H19" s="159">
        <v>95</v>
      </c>
      <c r="I19" s="68">
        <f t="shared" si="1"/>
        <v>152</v>
      </c>
      <c r="J19" s="68"/>
      <c r="K19" s="17"/>
      <c r="L19" s="14"/>
      <c r="M19" s="20"/>
      <c r="O19" s="14"/>
      <c r="P19" s="15"/>
      <c r="Q19" s="14"/>
      <c r="R19" s="15"/>
      <c r="S19" s="16"/>
      <c r="T19" s="14"/>
    </row>
    <row r="20" spans="2:20" s="21" customFormat="1" x14ac:dyDescent="0.25">
      <c r="B20" s="64" t="s">
        <v>95</v>
      </c>
      <c r="C20" s="65"/>
      <c r="D20" s="79"/>
      <c r="E20" s="158">
        <f t="shared" si="0"/>
        <v>1.6</v>
      </c>
      <c r="F20" s="144">
        <v>1</v>
      </c>
      <c r="G20" s="66" t="s">
        <v>41</v>
      </c>
      <c r="H20" s="159">
        <v>95</v>
      </c>
      <c r="I20" s="68">
        <f t="shared" si="1"/>
        <v>152</v>
      </c>
      <c r="J20" s="68"/>
      <c r="K20" s="17"/>
      <c r="L20" s="14"/>
      <c r="M20" s="20"/>
      <c r="O20" s="14"/>
      <c r="P20" s="15"/>
      <c r="Q20" s="14"/>
      <c r="R20" s="15"/>
      <c r="S20" s="16"/>
      <c r="T20" s="14"/>
    </row>
    <row r="21" spans="2:20" s="21" customFormat="1" x14ac:dyDescent="0.25">
      <c r="B21" s="64" t="s">
        <v>96</v>
      </c>
      <c r="C21" s="65"/>
      <c r="D21" s="79"/>
      <c r="E21" s="158">
        <f t="shared" si="0"/>
        <v>1.6</v>
      </c>
      <c r="F21" s="144">
        <v>1</v>
      </c>
      <c r="G21" s="66" t="s">
        <v>41</v>
      </c>
      <c r="H21" s="159">
        <v>95</v>
      </c>
      <c r="I21" s="68">
        <f t="shared" si="1"/>
        <v>152</v>
      </c>
      <c r="J21" s="68"/>
      <c r="K21" s="17"/>
      <c r="L21" s="14"/>
      <c r="M21" s="20"/>
      <c r="O21" s="14"/>
      <c r="P21" s="15"/>
      <c r="Q21" s="14"/>
      <c r="R21" s="15"/>
      <c r="S21" s="16"/>
      <c r="T21" s="14"/>
    </row>
    <row r="22" spans="2:20" s="21" customFormat="1" x14ac:dyDescent="0.25">
      <c r="B22" s="64" t="s">
        <v>89</v>
      </c>
      <c r="C22" s="65"/>
      <c r="D22" s="79"/>
      <c r="E22" s="158">
        <f t="shared" si="0"/>
        <v>0.4</v>
      </c>
      <c r="F22" s="144">
        <v>0.25</v>
      </c>
      <c r="G22" s="66" t="s">
        <v>90</v>
      </c>
      <c r="H22" s="159">
        <v>680</v>
      </c>
      <c r="I22" s="68">
        <f t="shared" si="1"/>
        <v>272</v>
      </c>
      <c r="J22" s="68"/>
      <c r="K22" s="17"/>
      <c r="L22" s="14"/>
      <c r="M22" s="20"/>
      <c r="O22" s="14"/>
      <c r="P22" s="15"/>
      <c r="Q22" s="14"/>
      <c r="R22" s="15"/>
      <c r="S22" s="16"/>
      <c r="T22" s="14"/>
    </row>
    <row r="23" spans="2:20" s="21" customFormat="1" x14ac:dyDescent="0.25">
      <c r="B23" s="64" t="s">
        <v>91</v>
      </c>
      <c r="C23" s="65"/>
      <c r="D23" s="79"/>
      <c r="E23" s="158">
        <f t="shared" si="0"/>
        <v>0.4</v>
      </c>
      <c r="F23" s="144">
        <v>0.25</v>
      </c>
      <c r="G23" s="66" t="s">
        <v>90</v>
      </c>
      <c r="H23" s="159">
        <v>630</v>
      </c>
      <c r="I23" s="68">
        <f t="shared" si="1"/>
        <v>252</v>
      </c>
      <c r="J23" s="68"/>
      <c r="K23" s="17"/>
      <c r="L23" s="14"/>
      <c r="M23" s="20"/>
      <c r="O23" s="14"/>
      <c r="P23" s="15"/>
      <c r="Q23" s="14"/>
      <c r="R23" s="15"/>
      <c r="S23" s="16"/>
      <c r="T23" s="14"/>
    </row>
    <row r="24" spans="2:20" s="21" customFormat="1" x14ac:dyDescent="0.25">
      <c r="B24" s="64" t="s">
        <v>92</v>
      </c>
      <c r="C24" s="65"/>
      <c r="D24" s="79"/>
      <c r="E24" s="158">
        <f t="shared" si="0"/>
        <v>0.4</v>
      </c>
      <c r="F24" s="144">
        <v>0.25</v>
      </c>
      <c r="G24" s="66" t="s">
        <v>90</v>
      </c>
      <c r="H24" s="159">
        <v>230</v>
      </c>
      <c r="I24" s="68">
        <f t="shared" si="1"/>
        <v>92</v>
      </c>
      <c r="J24" s="68"/>
      <c r="K24" s="17"/>
      <c r="L24" s="14"/>
      <c r="M24" s="20"/>
      <c r="O24" s="14"/>
      <c r="P24" s="15"/>
      <c r="Q24" s="14"/>
      <c r="R24" s="15"/>
      <c r="S24" s="16"/>
      <c r="T24" s="14"/>
    </row>
    <row r="25" spans="2:20" s="21" customFormat="1" x14ac:dyDescent="0.25">
      <c r="B25" s="64" t="s">
        <v>93</v>
      </c>
      <c r="C25" s="65"/>
      <c r="D25" s="79"/>
      <c r="E25" s="158">
        <f t="shared" si="0"/>
        <v>1.2</v>
      </c>
      <c r="F25" s="144">
        <v>0.75</v>
      </c>
      <c r="G25" s="66" t="s">
        <v>90</v>
      </c>
      <c r="H25" s="159">
        <v>800</v>
      </c>
      <c r="I25" s="68">
        <f t="shared" si="1"/>
        <v>960</v>
      </c>
      <c r="J25" s="68"/>
      <c r="K25" s="17"/>
      <c r="L25" s="14"/>
      <c r="M25" s="20"/>
      <c r="O25" s="14"/>
      <c r="P25" s="15"/>
      <c r="Q25" s="14"/>
      <c r="R25" s="15"/>
      <c r="S25" s="16"/>
      <c r="T25" s="14"/>
    </row>
    <row r="26" spans="2:20" s="21" customFormat="1" x14ac:dyDescent="0.25">
      <c r="B26" s="64" t="s">
        <v>94</v>
      </c>
      <c r="C26" s="65"/>
      <c r="D26" s="79"/>
      <c r="E26" s="158">
        <f t="shared" si="0"/>
        <v>0.32</v>
      </c>
      <c r="F26" s="155">
        <f>1/5</f>
        <v>0.2</v>
      </c>
      <c r="G26" s="66" t="s">
        <v>41</v>
      </c>
      <c r="H26" s="159">
        <v>95</v>
      </c>
      <c r="I26" s="68">
        <f t="shared" si="1"/>
        <v>30.400000000000002</v>
      </c>
      <c r="J26" s="68"/>
      <c r="K26" s="17"/>
      <c r="L26" s="14"/>
      <c r="M26" s="20"/>
      <c r="O26" s="14"/>
      <c r="P26" s="15"/>
      <c r="Q26" s="14"/>
      <c r="R26" s="15"/>
      <c r="S26" s="16"/>
      <c r="T26" s="14"/>
    </row>
    <row r="27" spans="2:20" s="21" customFormat="1" x14ac:dyDescent="0.25">
      <c r="B27" s="64" t="s">
        <v>109</v>
      </c>
      <c r="C27" s="65"/>
      <c r="D27" s="79"/>
      <c r="E27" s="158">
        <f t="shared" si="0"/>
        <v>0.32</v>
      </c>
      <c r="F27" s="155">
        <f>1/5</f>
        <v>0.2</v>
      </c>
      <c r="G27" s="66" t="s">
        <v>41</v>
      </c>
      <c r="H27" s="159">
        <v>95</v>
      </c>
      <c r="I27" s="68">
        <f t="shared" si="1"/>
        <v>30.400000000000002</v>
      </c>
      <c r="J27" s="68"/>
      <c r="K27" s="17"/>
      <c r="L27" s="14"/>
      <c r="M27" s="20"/>
      <c r="O27" s="14"/>
      <c r="P27" s="15"/>
      <c r="Q27" s="14"/>
      <c r="R27" s="15"/>
      <c r="S27" s="16"/>
      <c r="T27" s="14"/>
    </row>
    <row r="28" spans="2:20" s="21" customFormat="1" x14ac:dyDescent="0.25">
      <c r="B28" s="64" t="s">
        <v>110</v>
      </c>
      <c r="C28" s="65"/>
      <c r="D28" s="79"/>
      <c r="E28" s="158">
        <f t="shared" si="0"/>
        <v>0.32</v>
      </c>
      <c r="F28" s="155">
        <v>0.2</v>
      </c>
      <c r="G28" s="66" t="s">
        <v>90</v>
      </c>
      <c r="H28" s="159">
        <v>1000</v>
      </c>
      <c r="I28" s="68">
        <f t="shared" si="1"/>
        <v>320</v>
      </c>
      <c r="J28" s="68"/>
      <c r="K28" s="17"/>
      <c r="L28" s="14"/>
      <c r="M28" s="20"/>
      <c r="O28" s="14"/>
      <c r="P28" s="15"/>
      <c r="Q28" s="14"/>
      <c r="R28" s="15"/>
      <c r="S28" s="16"/>
      <c r="T28" s="14"/>
    </row>
    <row r="29" spans="2:20" s="21" customFormat="1" x14ac:dyDescent="0.25">
      <c r="B29" s="64" t="s">
        <v>111</v>
      </c>
      <c r="C29" s="65"/>
      <c r="D29" s="79"/>
      <c r="E29" s="158">
        <f t="shared" si="0"/>
        <v>0.08</v>
      </c>
      <c r="F29" s="155">
        <v>0.05</v>
      </c>
      <c r="G29" s="66" t="s">
        <v>90</v>
      </c>
      <c r="H29" s="159">
        <v>800</v>
      </c>
      <c r="I29" s="68">
        <f t="shared" si="1"/>
        <v>64</v>
      </c>
      <c r="J29" s="68"/>
      <c r="K29" s="17"/>
      <c r="L29" s="14"/>
      <c r="M29" s="20"/>
      <c r="O29" s="14"/>
      <c r="P29" s="15"/>
      <c r="Q29" s="14"/>
      <c r="R29" s="15"/>
      <c r="S29" s="16"/>
      <c r="T29" s="14"/>
    </row>
    <row r="30" spans="2:20" s="21" customFormat="1" x14ac:dyDescent="0.25">
      <c r="B30" s="64" t="s">
        <v>92</v>
      </c>
      <c r="C30" s="65"/>
      <c r="D30" s="79"/>
      <c r="E30" s="158">
        <f t="shared" si="0"/>
        <v>0.08</v>
      </c>
      <c r="F30" s="155">
        <v>0.05</v>
      </c>
      <c r="G30" s="66" t="s">
        <v>90</v>
      </c>
      <c r="H30" s="159">
        <v>230</v>
      </c>
      <c r="I30" s="68">
        <f t="shared" si="1"/>
        <v>18.400000000000002</v>
      </c>
      <c r="J30" s="68"/>
      <c r="K30" s="17"/>
      <c r="L30" s="14"/>
      <c r="M30" s="20"/>
      <c r="O30" s="14"/>
      <c r="P30" s="15"/>
      <c r="Q30" s="14"/>
      <c r="R30" s="15"/>
      <c r="S30" s="16"/>
      <c r="T30" s="14"/>
    </row>
    <row r="31" spans="2:20" s="21" customFormat="1" x14ac:dyDescent="0.25">
      <c r="B31" s="64" t="s">
        <v>112</v>
      </c>
      <c r="C31" s="65"/>
      <c r="D31" s="79"/>
      <c r="E31" s="158">
        <f t="shared" si="0"/>
        <v>8</v>
      </c>
      <c r="F31" s="155">
        <v>5</v>
      </c>
      <c r="G31" s="66" t="s">
        <v>41</v>
      </c>
      <c r="H31" s="159">
        <v>8</v>
      </c>
      <c r="I31" s="68">
        <f t="shared" si="1"/>
        <v>64</v>
      </c>
      <c r="J31" s="68"/>
      <c r="K31" s="17"/>
      <c r="L31" s="14"/>
      <c r="M31" s="20"/>
      <c r="O31" s="14"/>
      <c r="P31" s="15"/>
      <c r="Q31" s="14"/>
      <c r="R31" s="15"/>
      <c r="S31" s="16"/>
      <c r="T31" s="14"/>
    </row>
    <row r="32" spans="2:20" s="21" customFormat="1" x14ac:dyDescent="0.25">
      <c r="B32" s="64" t="s">
        <v>99</v>
      </c>
      <c r="C32" s="65"/>
      <c r="D32" s="79"/>
      <c r="E32" s="158">
        <f t="shared" si="0"/>
        <v>2</v>
      </c>
      <c r="F32" s="144">
        <v>1.25</v>
      </c>
      <c r="G32" s="66" t="s">
        <v>41</v>
      </c>
      <c r="H32" s="159">
        <v>400</v>
      </c>
      <c r="I32" s="68">
        <f t="shared" si="1"/>
        <v>800</v>
      </c>
      <c r="J32" s="68"/>
      <c r="K32" s="17"/>
      <c r="L32" s="14"/>
      <c r="M32" s="20"/>
      <c r="O32" s="14"/>
      <c r="P32" s="15"/>
      <c r="Q32" s="14"/>
      <c r="R32" s="15"/>
      <c r="S32" s="16"/>
      <c r="T32" s="14"/>
    </row>
    <row r="33" spans="2:20" s="21" customFormat="1" x14ac:dyDescent="0.25">
      <c r="B33" s="64" t="s">
        <v>47</v>
      </c>
      <c r="C33" s="65"/>
      <c r="D33" s="79"/>
      <c r="E33" s="158">
        <v>1</v>
      </c>
      <c r="F33" s="144">
        <v>1</v>
      </c>
      <c r="G33" s="66" t="s">
        <v>41</v>
      </c>
      <c r="H33" s="159">
        <v>500</v>
      </c>
      <c r="I33" s="68">
        <f t="shared" si="1"/>
        <v>500</v>
      </c>
      <c r="J33" s="68"/>
      <c r="K33" s="17"/>
      <c r="L33" s="14"/>
      <c r="M33" s="20"/>
      <c r="O33" s="14"/>
      <c r="P33" s="15"/>
      <c r="Q33" s="14"/>
      <c r="R33" s="15"/>
      <c r="S33" s="16"/>
      <c r="T33" s="14"/>
    </row>
    <row r="34" spans="2:20" s="25" customFormat="1" ht="14.25" customHeight="1" x14ac:dyDescent="0.25">
      <c r="B34" s="71" t="s">
        <v>11</v>
      </c>
      <c r="C34" s="72"/>
      <c r="D34" s="94"/>
      <c r="E34" s="91"/>
      <c r="F34" s="145"/>
      <c r="G34" s="73"/>
      <c r="H34" s="74"/>
      <c r="I34" s="85"/>
      <c r="J34" s="60">
        <f>SUM(I9:I33)</f>
        <v>22499.200000000004</v>
      </c>
      <c r="K34" s="63"/>
      <c r="L34" s="23"/>
      <c r="M34" s="116">
        <f>J34/$J$5</f>
        <v>2812.4000000000005</v>
      </c>
      <c r="O34" s="23"/>
    </row>
    <row r="35" spans="2:20" s="21" customFormat="1" x14ac:dyDescent="0.25">
      <c r="B35" s="69"/>
      <c r="C35" s="65"/>
      <c r="D35" s="79"/>
      <c r="E35" s="86"/>
      <c r="F35" s="146"/>
      <c r="G35" s="66"/>
      <c r="H35" s="70"/>
      <c r="I35" s="68"/>
      <c r="J35" s="59"/>
      <c r="K35" s="17"/>
      <c r="L35" s="14"/>
      <c r="M35" s="116">
        <f t="shared" ref="M35:M55" si="2">J35/$J$5</f>
        <v>0</v>
      </c>
      <c r="O35" s="14"/>
    </row>
    <row r="36" spans="2:20" s="21" customFormat="1" x14ac:dyDescent="0.25">
      <c r="B36" s="102" t="s">
        <v>12</v>
      </c>
      <c r="C36" s="87"/>
      <c r="D36" s="95"/>
      <c r="E36" s="86"/>
      <c r="F36" s="146"/>
      <c r="G36" s="66"/>
      <c r="H36" s="70"/>
      <c r="I36" s="68"/>
      <c r="J36" s="68"/>
      <c r="K36" s="17"/>
      <c r="L36" s="14"/>
      <c r="M36" s="116">
        <f t="shared" si="2"/>
        <v>0</v>
      </c>
      <c r="O36" s="14"/>
    </row>
    <row r="37" spans="2:20" s="21" customFormat="1" x14ac:dyDescent="0.25">
      <c r="B37" s="133" t="s">
        <v>13</v>
      </c>
      <c r="C37" s="134" t="s">
        <v>14</v>
      </c>
      <c r="D37" s="135" t="s">
        <v>15</v>
      </c>
      <c r="E37" s="79"/>
      <c r="F37" s="65"/>
      <c r="G37" s="69"/>
      <c r="H37" s="66"/>
      <c r="I37" s="76"/>
      <c r="J37" s="78"/>
      <c r="K37" s="17"/>
      <c r="L37" s="14"/>
      <c r="M37" s="116">
        <f t="shared" si="2"/>
        <v>0</v>
      </c>
      <c r="O37" s="14"/>
    </row>
    <row r="38" spans="2:20" s="21" customFormat="1" x14ac:dyDescent="0.25">
      <c r="B38" s="137" t="s">
        <v>48</v>
      </c>
      <c r="C38" s="100">
        <v>0</v>
      </c>
      <c r="D38" s="101">
        <f>9/$M$3*$J$5</f>
        <v>14.4</v>
      </c>
      <c r="E38" s="86"/>
      <c r="F38" s="146"/>
      <c r="G38" s="66"/>
      <c r="H38" s="70"/>
      <c r="I38" s="78">
        <f>D38*130</f>
        <v>1872</v>
      </c>
      <c r="J38" s="68"/>
      <c r="K38" s="17"/>
      <c r="L38" s="14"/>
      <c r="M38" s="116">
        <f t="shared" si="2"/>
        <v>0</v>
      </c>
      <c r="O38" s="14"/>
    </row>
    <row r="39" spans="2:20" s="21" customFormat="1" x14ac:dyDescent="0.25">
      <c r="B39" s="137" t="s">
        <v>49</v>
      </c>
      <c r="C39" s="100"/>
      <c r="D39" s="101">
        <f>6/$M$3*$J$5</f>
        <v>9.6</v>
      </c>
      <c r="E39" s="86"/>
      <c r="F39" s="146"/>
      <c r="G39" s="66"/>
      <c r="H39" s="70"/>
      <c r="I39" s="78">
        <f>D39*130</f>
        <v>1248</v>
      </c>
      <c r="J39" s="68"/>
      <c r="K39" s="17"/>
      <c r="L39" s="14"/>
      <c r="M39" s="116">
        <f t="shared" si="2"/>
        <v>0</v>
      </c>
      <c r="O39" s="14"/>
    </row>
    <row r="40" spans="2:20" s="21" customFormat="1" x14ac:dyDescent="0.25">
      <c r="B40" s="137" t="s">
        <v>100</v>
      </c>
      <c r="C40" s="100">
        <v>0</v>
      </c>
      <c r="D40" s="101">
        <f>2/$M$3*$J$5</f>
        <v>3.2</v>
      </c>
      <c r="E40" s="86"/>
      <c r="F40" s="146"/>
      <c r="G40" s="66"/>
      <c r="H40" s="70"/>
      <c r="I40" s="78">
        <f>D40*130</f>
        <v>416</v>
      </c>
      <c r="J40" s="68"/>
      <c r="K40" s="17"/>
      <c r="L40" s="14"/>
      <c r="M40" s="116">
        <f t="shared" si="2"/>
        <v>0</v>
      </c>
      <c r="O40" s="14"/>
    </row>
    <row r="41" spans="2:20" s="21" customFormat="1" x14ac:dyDescent="0.25">
      <c r="B41" s="136"/>
      <c r="C41" s="100">
        <f>SUM(C38:C40)</f>
        <v>0</v>
      </c>
      <c r="D41" s="101">
        <f>SUM(D38:D40)</f>
        <v>27.2</v>
      </c>
      <c r="E41" s="86"/>
      <c r="F41" s="146"/>
      <c r="G41" s="66"/>
      <c r="H41" s="70"/>
      <c r="I41" s="78"/>
      <c r="J41" s="68"/>
      <c r="K41" s="17"/>
      <c r="L41" s="14"/>
      <c r="M41" s="116">
        <f t="shared" si="2"/>
        <v>0</v>
      </c>
      <c r="O41" s="14"/>
    </row>
    <row r="42" spans="2:20" s="21" customFormat="1" x14ac:dyDescent="0.25">
      <c r="B42" s="138" t="s">
        <v>101</v>
      </c>
      <c r="C42" s="15"/>
      <c r="D42" s="139"/>
      <c r="E42" s="86"/>
      <c r="F42" s="146"/>
      <c r="G42" s="66"/>
      <c r="H42" s="70"/>
      <c r="I42" s="78">
        <f>150/6*$J$5</f>
        <v>200</v>
      </c>
      <c r="J42" s="68"/>
      <c r="K42" s="17"/>
      <c r="L42" s="14"/>
      <c r="M42" s="116">
        <f t="shared" si="2"/>
        <v>0</v>
      </c>
      <c r="O42" s="14"/>
    </row>
    <row r="43" spans="2:20" s="21" customFormat="1" x14ac:dyDescent="0.25">
      <c r="B43" s="138" t="s">
        <v>114</v>
      </c>
      <c r="C43" s="15"/>
      <c r="D43" s="139"/>
      <c r="E43" s="86"/>
      <c r="F43" s="146"/>
      <c r="G43" s="66"/>
      <c r="H43" s="70"/>
      <c r="I43" s="78">
        <f>250/$M$3*$J$5</f>
        <v>400</v>
      </c>
      <c r="J43" s="68"/>
      <c r="K43" s="17"/>
      <c r="L43" s="14"/>
      <c r="M43" s="116"/>
      <c r="O43" s="14"/>
    </row>
    <row r="44" spans="2:20" s="21" customFormat="1" x14ac:dyDescent="0.25">
      <c r="B44" s="103" t="s">
        <v>16</v>
      </c>
      <c r="C44" s="88"/>
      <c r="D44" s="97"/>
      <c r="E44" s="86"/>
      <c r="F44" s="146"/>
      <c r="G44" s="66"/>
      <c r="H44" s="70"/>
      <c r="I44" s="68">
        <f>D41*15</f>
        <v>408</v>
      </c>
      <c r="J44" s="68"/>
      <c r="K44" s="17"/>
      <c r="L44" s="14"/>
      <c r="M44" s="116">
        <f t="shared" si="2"/>
        <v>0</v>
      </c>
      <c r="O44" s="14"/>
    </row>
    <row r="45" spans="2:20" s="21" customFormat="1" x14ac:dyDescent="0.25">
      <c r="B45" s="69" t="s">
        <v>86</v>
      </c>
      <c r="C45" s="65"/>
      <c r="D45" s="79"/>
      <c r="E45" s="79"/>
      <c r="F45" s="65"/>
      <c r="G45" s="69"/>
      <c r="H45" s="66"/>
      <c r="I45" s="78">
        <f>250/$M$3*$J$5</f>
        <v>400</v>
      </c>
      <c r="J45" s="78"/>
      <c r="K45" s="17"/>
      <c r="L45" s="14"/>
      <c r="M45" s="116">
        <f t="shared" si="2"/>
        <v>0</v>
      </c>
      <c r="O45" s="14"/>
    </row>
    <row r="46" spans="2:20" s="21" customFormat="1" x14ac:dyDescent="0.25">
      <c r="B46" s="69"/>
      <c r="C46" s="65"/>
      <c r="D46" s="79"/>
      <c r="E46" s="86"/>
      <c r="F46" s="146"/>
      <c r="G46" s="66"/>
      <c r="H46" s="70"/>
      <c r="I46" s="84"/>
      <c r="J46" s="59"/>
      <c r="K46" s="17"/>
      <c r="L46" s="14"/>
      <c r="M46" s="116">
        <f t="shared" si="2"/>
        <v>0</v>
      </c>
      <c r="O46" s="14"/>
    </row>
    <row r="47" spans="2:20" s="25" customFormat="1" x14ac:dyDescent="0.25">
      <c r="B47" s="80" t="s">
        <v>18</v>
      </c>
      <c r="C47" s="72"/>
      <c r="D47" s="94"/>
      <c r="E47" s="91"/>
      <c r="F47" s="145"/>
      <c r="G47" s="73"/>
      <c r="H47" s="74"/>
      <c r="I47" s="83"/>
      <c r="J47" s="60">
        <f>SUM(I38:I46)</f>
        <v>4944</v>
      </c>
      <c r="K47" s="22"/>
      <c r="L47" s="23"/>
      <c r="M47" s="116">
        <f t="shared" si="2"/>
        <v>618</v>
      </c>
      <c r="O47" s="23"/>
    </row>
    <row r="48" spans="2:20" s="21" customFormat="1" x14ac:dyDescent="0.25">
      <c r="B48" s="77"/>
      <c r="C48" s="65"/>
      <c r="D48" s="79"/>
      <c r="E48" s="86"/>
      <c r="F48" s="146"/>
      <c r="G48" s="66"/>
      <c r="H48" s="70"/>
      <c r="I48" s="78"/>
      <c r="J48" s="59"/>
      <c r="K48" s="17"/>
      <c r="L48" s="14"/>
      <c r="M48" s="116">
        <f t="shared" si="2"/>
        <v>0</v>
      </c>
      <c r="O48" s="14"/>
    </row>
    <row r="49" spans="2:15" s="25" customFormat="1" x14ac:dyDescent="0.25">
      <c r="B49" s="80" t="s">
        <v>19</v>
      </c>
      <c r="C49" s="72"/>
      <c r="D49" s="94"/>
      <c r="E49" s="91"/>
      <c r="F49" s="145"/>
      <c r="G49" s="73"/>
      <c r="H49" s="74"/>
      <c r="I49" s="81"/>
      <c r="J49" s="75">
        <f>J34+J47</f>
        <v>27443.200000000004</v>
      </c>
      <c r="K49" s="22"/>
      <c r="L49" s="23"/>
      <c r="M49" s="116">
        <f t="shared" si="2"/>
        <v>3430.4000000000005</v>
      </c>
      <c r="O49" s="23"/>
    </row>
    <row r="50" spans="2:15" s="21" customFormat="1" x14ac:dyDescent="0.25">
      <c r="B50" s="77"/>
      <c r="C50" s="65"/>
      <c r="D50" s="79"/>
      <c r="E50" s="86"/>
      <c r="F50" s="146"/>
      <c r="G50" s="66"/>
      <c r="H50" s="70"/>
      <c r="I50" s="78"/>
      <c r="J50" s="68"/>
      <c r="K50" s="17"/>
      <c r="L50" s="14"/>
      <c r="M50" s="116">
        <f t="shared" si="2"/>
        <v>0</v>
      </c>
      <c r="O50" s="14"/>
    </row>
    <row r="51" spans="2:15" s="21" customFormat="1" x14ac:dyDescent="0.25">
      <c r="B51" s="69" t="s">
        <v>20</v>
      </c>
      <c r="C51" s="65"/>
      <c r="D51" s="79"/>
      <c r="E51" s="79"/>
      <c r="F51" s="65"/>
      <c r="G51" s="69"/>
      <c r="H51" s="69"/>
      <c r="I51" s="147"/>
      <c r="J51" s="141">
        <f>J49*1.1*0.2</f>
        <v>6037.5040000000017</v>
      </c>
      <c r="K51" s="148">
        <f>J51/J49</f>
        <v>0.22000000000000003</v>
      </c>
      <c r="L51" s="14"/>
      <c r="M51" s="116">
        <f t="shared" si="2"/>
        <v>754.68800000000022</v>
      </c>
      <c r="O51" s="14"/>
    </row>
    <row r="52" spans="2:15" s="21" customFormat="1" x14ac:dyDescent="0.25">
      <c r="B52" s="69"/>
      <c r="C52" s="65"/>
      <c r="D52" s="79"/>
      <c r="E52" s="79"/>
      <c r="F52" s="65"/>
      <c r="G52" s="69"/>
      <c r="H52" s="69"/>
      <c r="I52" s="147"/>
      <c r="J52" s="140">
        <f>SUM(J49+J51)</f>
        <v>33480.704000000005</v>
      </c>
      <c r="K52" s="148"/>
      <c r="L52" s="14"/>
      <c r="M52" s="116">
        <f t="shared" si="2"/>
        <v>4185.0880000000006</v>
      </c>
      <c r="O52" s="14"/>
    </row>
    <row r="53" spans="2:15" s="21" customFormat="1" x14ac:dyDescent="0.25">
      <c r="B53" s="69"/>
      <c r="C53" s="65"/>
      <c r="D53" s="79"/>
      <c r="E53" s="79"/>
      <c r="F53" s="65"/>
      <c r="G53" s="69"/>
      <c r="H53" s="69"/>
      <c r="I53" s="147"/>
      <c r="J53" s="140">
        <f>J52*0.5%</f>
        <v>167.40352000000004</v>
      </c>
      <c r="K53" s="148">
        <f>J53/J52</f>
        <v>5.0000000000000001E-3</v>
      </c>
      <c r="L53" s="14"/>
      <c r="M53" s="116">
        <f t="shared" si="2"/>
        <v>20.925440000000005</v>
      </c>
      <c r="O53" s="14"/>
    </row>
    <row r="54" spans="2:15" s="21" customFormat="1" x14ac:dyDescent="0.25">
      <c r="B54" s="69"/>
      <c r="C54" s="65"/>
      <c r="D54" s="79"/>
      <c r="E54" s="86"/>
      <c r="F54" s="146"/>
      <c r="G54" s="66"/>
      <c r="H54" s="70"/>
      <c r="I54" s="76"/>
      <c r="J54" s="59"/>
      <c r="K54" s="17"/>
      <c r="L54" s="14"/>
      <c r="M54" s="116">
        <f t="shared" si="2"/>
        <v>0</v>
      </c>
      <c r="O54" s="14"/>
    </row>
    <row r="55" spans="2:15" s="21" customFormat="1" x14ac:dyDescent="0.25">
      <c r="B55" s="71" t="s">
        <v>21</v>
      </c>
      <c r="C55" s="65"/>
      <c r="D55" s="79"/>
      <c r="E55" s="86"/>
      <c r="F55" s="146"/>
      <c r="G55" s="66"/>
      <c r="H55" s="70"/>
      <c r="I55" s="68">
        <v>0</v>
      </c>
      <c r="J55" s="60">
        <f>J52+J53</f>
        <v>33648.107520000005</v>
      </c>
      <c r="K55" s="17"/>
      <c r="L55" s="14"/>
      <c r="M55" s="116">
        <f t="shared" si="2"/>
        <v>4206.0134400000006</v>
      </c>
      <c r="O55" s="14"/>
    </row>
    <row r="56" spans="2:15" s="21" customFormat="1" x14ac:dyDescent="0.25">
      <c r="B56" s="69"/>
      <c r="C56" s="65"/>
      <c r="D56" s="79"/>
      <c r="E56" s="79"/>
      <c r="F56" s="65"/>
      <c r="G56" s="69"/>
      <c r="H56" s="70"/>
      <c r="I56" s="68">
        <v>0</v>
      </c>
      <c r="J56" s="59"/>
      <c r="K56" s="17"/>
      <c r="L56" s="14"/>
      <c r="M56" s="20"/>
      <c r="O56" s="14"/>
    </row>
    <row r="57" spans="2:15" s="21" customFormat="1" x14ac:dyDescent="0.25">
      <c r="B57" s="69" t="s">
        <v>22</v>
      </c>
      <c r="C57" s="65"/>
      <c r="D57" s="79"/>
      <c r="E57" s="79"/>
      <c r="F57" s="65"/>
      <c r="G57" s="69"/>
      <c r="H57" s="70"/>
      <c r="I57" s="78">
        <f t="shared" ref="I57" si="3">H57*E57</f>
        <v>0</v>
      </c>
      <c r="J57" s="78"/>
      <c r="K57" s="17"/>
      <c r="L57" s="14"/>
      <c r="M57" s="20"/>
      <c r="O57" s="14"/>
    </row>
    <row r="58" spans="2:15" s="21" customFormat="1" x14ac:dyDescent="0.25">
      <c r="B58" s="69" t="s">
        <v>23</v>
      </c>
      <c r="C58" s="65"/>
      <c r="D58" s="79"/>
      <c r="E58" s="79"/>
      <c r="F58" s="65"/>
      <c r="G58" s="69"/>
      <c r="H58" s="82"/>
      <c r="I58" s="78"/>
      <c r="J58" s="78"/>
      <c r="K58" s="17"/>
      <c r="L58" s="14"/>
      <c r="M58" s="20"/>
      <c r="O58" s="14"/>
    </row>
    <row r="59" spans="2:15" s="21" customFormat="1" x14ac:dyDescent="0.25">
      <c r="B59" s="69" t="s">
        <v>24</v>
      </c>
      <c r="C59" s="65"/>
      <c r="D59" s="79"/>
      <c r="E59" s="79"/>
      <c r="F59" s="65"/>
      <c r="G59" s="69"/>
      <c r="H59" s="66"/>
      <c r="I59" s="76"/>
      <c r="J59" s="78"/>
      <c r="K59" s="17"/>
      <c r="L59" s="14"/>
      <c r="M59" s="20"/>
      <c r="O59" s="14"/>
    </row>
    <row r="60" spans="2:15" s="21" customFormat="1" ht="15.75" thickBot="1" x14ac:dyDescent="0.3">
      <c r="B60" s="55"/>
      <c r="C60" s="56"/>
      <c r="D60" s="58"/>
      <c r="E60" s="58"/>
      <c r="F60" s="56"/>
      <c r="G60" s="55"/>
      <c r="H60" s="57"/>
      <c r="I60" s="61"/>
      <c r="J60" s="62"/>
      <c r="K60" s="55"/>
      <c r="L60" s="56"/>
      <c r="M60" s="58"/>
      <c r="O60" s="14"/>
    </row>
    <row r="61" spans="2:15" x14ac:dyDescent="0.25">
      <c r="O61" s="14"/>
    </row>
    <row r="62" spans="2:15" x14ac:dyDescent="0.25">
      <c r="B62" t="s">
        <v>25</v>
      </c>
      <c r="D62" s="28">
        <v>0.15</v>
      </c>
      <c r="E62" s="29"/>
      <c r="F62" s="29"/>
      <c r="G62" s="29"/>
      <c r="H62" s="28">
        <v>0.1</v>
      </c>
      <c r="I62" s="30"/>
      <c r="J62" s="28">
        <v>0.05</v>
      </c>
      <c r="K62" s="31"/>
    </row>
    <row r="63" spans="2:15" x14ac:dyDescent="0.25">
      <c r="I63" s="31"/>
      <c r="K63" s="31"/>
    </row>
    <row r="64" spans="2:15" s="27" customFormat="1" ht="15.75" thickBot="1" x14ac:dyDescent="0.3">
      <c r="B64" s="27" t="s">
        <v>26</v>
      </c>
      <c r="D64" s="32">
        <f>J55*D62+J55</f>
        <v>38695.323648000005</v>
      </c>
      <c r="H64" s="33">
        <f>J55*H62+J55</f>
        <v>37012.918272000003</v>
      </c>
      <c r="I64" s="34"/>
      <c r="J64" s="33">
        <f>J55*J62+J55</f>
        <v>35330.512896000007</v>
      </c>
      <c r="K64" s="34"/>
      <c r="O64" s="26"/>
    </row>
    <row r="65" spans="2:15" ht="15.75" thickTop="1" x14ac:dyDescent="0.25">
      <c r="D65" s="19"/>
      <c r="I65" s="31"/>
      <c r="K65" s="31"/>
    </row>
    <row r="66" spans="2:15" x14ac:dyDescent="0.25">
      <c r="B66" t="s">
        <v>27</v>
      </c>
      <c r="D66" s="19">
        <f>D64-J49</f>
        <v>11252.123648000001</v>
      </c>
      <c r="E66" s="45">
        <f>D66/D64</f>
        <v>0.29078768665581572</v>
      </c>
      <c r="F66" s="45"/>
      <c r="G66" s="31"/>
      <c r="H66" s="35">
        <f>H64-J49</f>
        <v>9569.7182719999983</v>
      </c>
      <c r="I66" s="45">
        <f>H66/H64</f>
        <v>0.25855076332198912</v>
      </c>
      <c r="J66" s="35">
        <f>J64-J49</f>
        <v>7887.3128960000031</v>
      </c>
      <c r="K66" s="45">
        <f>J66/J64</f>
        <v>0.22324365681351249</v>
      </c>
    </row>
    <row r="67" spans="2:15" x14ac:dyDescent="0.25">
      <c r="D67" s="19"/>
      <c r="E67" s="45"/>
      <c r="F67" s="45"/>
      <c r="G67" s="31"/>
      <c r="I67" s="45"/>
      <c r="K67" s="45"/>
    </row>
    <row r="68" spans="2:15" x14ac:dyDescent="0.25">
      <c r="B68" t="s">
        <v>20</v>
      </c>
      <c r="D68" s="19">
        <f>-J51</f>
        <v>-6037.5040000000017</v>
      </c>
      <c r="E68" s="45"/>
      <c r="F68" s="45"/>
      <c r="G68" s="31"/>
      <c r="H68" s="35">
        <f>-J51</f>
        <v>-6037.5040000000017</v>
      </c>
      <c r="I68" s="45"/>
      <c r="J68" s="35">
        <f>-J51</f>
        <v>-6037.5040000000017</v>
      </c>
      <c r="K68" s="45"/>
    </row>
    <row r="69" spans="2:15" x14ac:dyDescent="0.25">
      <c r="D69" s="19"/>
      <c r="E69" s="45"/>
      <c r="F69" s="45"/>
      <c r="G69" s="31"/>
      <c r="I69" s="45"/>
      <c r="K69" s="45"/>
    </row>
    <row r="70" spans="2:15" s="27" customFormat="1" ht="15.75" thickBot="1" x14ac:dyDescent="0.3">
      <c r="B70" s="27" t="s">
        <v>28</v>
      </c>
      <c r="D70" s="36">
        <f>SUM(D66:D69)</f>
        <v>5214.619647999999</v>
      </c>
      <c r="E70" s="46">
        <f>D70/D64</f>
        <v>0.13476097772009513</v>
      </c>
      <c r="F70" s="46"/>
      <c r="G70" s="34"/>
      <c r="H70" s="37">
        <f>H66+H68</f>
        <v>3532.2142719999965</v>
      </c>
      <c r="I70" s="46">
        <f>H70/H64</f>
        <v>9.5431931252826674E-2</v>
      </c>
      <c r="J70" s="37">
        <f>J66+J68</f>
        <v>1849.8088960000014</v>
      </c>
      <c r="K70" s="46">
        <f>J70/J64</f>
        <v>5.235726131248522E-2</v>
      </c>
      <c r="O70" s="26"/>
    </row>
    <row r="71" spans="2:15" ht="15.75" thickTop="1" x14ac:dyDescent="0.25">
      <c r="B71" s="25"/>
      <c r="C71" s="25"/>
      <c r="D71" s="38"/>
      <c r="E71" s="39"/>
      <c r="F71" s="39"/>
      <c r="G71" s="39"/>
      <c r="I71" s="45"/>
      <c r="K71" s="31"/>
    </row>
    <row r="72" spans="2:15" x14ac:dyDescent="0.25">
      <c r="D72" s="40" t="s">
        <v>8</v>
      </c>
      <c r="E72" s="40"/>
      <c r="F72" s="40"/>
      <c r="G72" s="40"/>
      <c r="H72" s="40" t="s">
        <v>8</v>
      </c>
      <c r="I72" s="31"/>
      <c r="J72" s="40" t="s">
        <v>8</v>
      </c>
      <c r="K72" s="31"/>
    </row>
    <row r="73" spans="2:15" x14ac:dyDescent="0.25">
      <c r="B73" t="s">
        <v>29</v>
      </c>
      <c r="D73" s="41">
        <f>D64*M4</f>
        <v>38695.323648000005</v>
      </c>
      <c r="E73" s="41"/>
      <c r="F73" s="41"/>
      <c r="G73" s="41"/>
      <c r="H73" s="43">
        <f>H64*M4</f>
        <v>37012.918272000003</v>
      </c>
      <c r="I73" s="44"/>
      <c r="J73" s="43">
        <f>J64*M4</f>
        <v>35330.512896000007</v>
      </c>
      <c r="K73" s="31"/>
    </row>
    <row r="74" spans="2:15" x14ac:dyDescent="0.25">
      <c r="D74" s="42"/>
      <c r="E74" s="42"/>
      <c r="F74" s="42"/>
      <c r="G74" s="42"/>
      <c r="H74" s="42"/>
      <c r="I74" s="44"/>
      <c r="J74" s="42"/>
      <c r="O74"/>
    </row>
    <row r="75" spans="2:15" x14ac:dyDescent="0.25">
      <c r="B75" t="s">
        <v>28</v>
      </c>
      <c r="D75" s="43">
        <f>D70*M4</f>
        <v>5214.619647999999</v>
      </c>
      <c r="E75" s="42"/>
      <c r="F75" s="42"/>
      <c r="G75" s="42"/>
      <c r="H75" s="43">
        <f>H70*M4</f>
        <v>3532.2142719999965</v>
      </c>
      <c r="I75" s="44"/>
      <c r="J75" s="43">
        <f>J70*M4</f>
        <v>1849.8088960000014</v>
      </c>
      <c r="O75"/>
    </row>
    <row r="76" spans="2:15" x14ac:dyDescent="0.25">
      <c r="D76" s="43"/>
      <c r="E76" s="42"/>
      <c r="F76" s="42"/>
      <c r="G76" s="42"/>
      <c r="H76" s="42"/>
      <c r="I76" s="43"/>
      <c r="J76" s="43"/>
      <c r="O76"/>
    </row>
    <row r="77" spans="2:15" x14ac:dyDescent="0.25">
      <c r="B77" t="s">
        <v>63</v>
      </c>
      <c r="D77" s="43">
        <f>D64/$J$5</f>
        <v>4836.9154560000006</v>
      </c>
      <c r="E77" s="42"/>
      <c r="F77" s="42"/>
      <c r="G77" s="42"/>
      <c r="H77" s="43">
        <f>H64/$J$5</f>
        <v>4626.6147840000003</v>
      </c>
      <c r="I77" s="43"/>
      <c r="J77" s="43">
        <f>J64/$J$5</f>
        <v>4416.3141120000009</v>
      </c>
      <c r="O77"/>
    </row>
    <row r="78" spans="2:15" x14ac:dyDescent="0.25">
      <c r="D78" s="43"/>
      <c r="E78" s="42"/>
      <c r="F78" s="42"/>
      <c r="G78" s="42"/>
      <c r="H78" s="42"/>
      <c r="I78" s="43"/>
      <c r="J78" s="43"/>
      <c r="O78"/>
    </row>
    <row r="79" spans="2:15" x14ac:dyDescent="0.25">
      <c r="D79" s="43"/>
      <c r="E79" s="42"/>
      <c r="F79" s="42"/>
      <c r="G79" s="42"/>
      <c r="H79" s="43"/>
      <c r="I79" s="43"/>
      <c r="J79" s="43"/>
      <c r="L79" s="122" t="s">
        <v>63</v>
      </c>
      <c r="M79" s="122">
        <v>4659</v>
      </c>
      <c r="O79"/>
    </row>
    <row r="80" spans="2:15" x14ac:dyDescent="0.25">
      <c r="D80" s="43"/>
      <c r="E80" s="42"/>
      <c r="F80" s="42"/>
      <c r="G80" s="42"/>
      <c r="H80" s="42"/>
      <c r="I80" s="43"/>
      <c r="J80" s="43"/>
      <c r="L80" s="108"/>
      <c r="M80" s="149"/>
      <c r="N80" s="149"/>
      <c r="O80" s="21"/>
    </row>
    <row r="81" spans="2:15" x14ac:dyDescent="0.25">
      <c r="M81" s="150"/>
      <c r="N81" s="21"/>
      <c r="O81" s="14"/>
    </row>
    <row r="82" spans="2:15" x14ac:dyDescent="0.25">
      <c r="B82" t="s">
        <v>30</v>
      </c>
      <c r="J82" t="s">
        <v>31</v>
      </c>
      <c r="L82" s="151">
        <f>M79*$J$5</f>
        <v>37272</v>
      </c>
      <c r="M82" s="152"/>
      <c r="N82" s="153"/>
      <c r="O82" s="14"/>
    </row>
    <row r="83" spans="2:15" x14ac:dyDescent="0.25">
      <c r="B83" t="s">
        <v>32</v>
      </c>
      <c r="M83" s="21"/>
      <c r="N83" s="21"/>
      <c r="O83" s="14"/>
    </row>
    <row r="84" spans="2:15" x14ac:dyDescent="0.25">
      <c r="J84" t="s">
        <v>33</v>
      </c>
    </row>
    <row r="85" spans="2:15" x14ac:dyDescent="0.25">
      <c r="B85" t="s">
        <v>34</v>
      </c>
      <c r="C85" t="s">
        <v>35</v>
      </c>
      <c r="E85" s="108" t="s">
        <v>102</v>
      </c>
      <c r="F85" s="108"/>
      <c r="H85" t="s">
        <v>36</v>
      </c>
    </row>
    <row r="86" spans="2:15" x14ac:dyDescent="0.25">
      <c r="B86" t="s">
        <v>37</v>
      </c>
      <c r="C86" t="s">
        <v>38</v>
      </c>
      <c r="E86" s="108" t="s">
        <v>50</v>
      </c>
      <c r="F86" s="108"/>
      <c r="H86" t="s">
        <v>39</v>
      </c>
      <c r="J86" t="s">
        <v>40</v>
      </c>
    </row>
  </sheetData>
  <mergeCells count="5">
    <mergeCell ref="K2:M2"/>
    <mergeCell ref="G4:H4"/>
    <mergeCell ref="K6:M6"/>
    <mergeCell ref="B7:D7"/>
    <mergeCell ref="E3:H3"/>
  </mergeCells>
  <pageMargins left="0.7" right="0.45" top="0.46" bottom="0.4" header="0.3" footer="0.3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workbookViewId="0">
      <selection activeCell="G21" sqref="G21"/>
    </sheetView>
  </sheetViews>
  <sheetFormatPr defaultRowHeight="15" x14ac:dyDescent="0.25"/>
  <cols>
    <col min="1" max="1" width="15.7109375" customWidth="1"/>
    <col min="2" max="2" width="8.140625" customWidth="1"/>
    <col min="3" max="3" width="13.85546875" customWidth="1"/>
    <col min="4" max="4" width="12.140625" customWidth="1"/>
    <col min="5" max="5" width="7.7109375" customWidth="1"/>
    <col min="6" max="6" width="11.5703125" customWidth="1"/>
    <col min="7" max="8" width="11.7109375" customWidth="1"/>
    <col min="9" max="9" width="10.5703125" bestFit="1" customWidth="1"/>
    <col min="10" max="10" width="11.28515625" customWidth="1"/>
    <col min="11" max="11" width="9" customWidth="1"/>
    <col min="13" max="13" width="9.140625" style="1"/>
    <col min="15" max="15" width="11.5703125" customWidth="1"/>
    <col min="16" max="16" width="10.85546875" customWidth="1"/>
  </cols>
  <sheetData>
    <row r="1" spans="1:18" ht="15.75" thickBot="1" x14ac:dyDescent="0.3">
      <c r="K1">
        <v>1</v>
      </c>
    </row>
    <row r="2" spans="1:18" ht="16.5" thickBot="1" x14ac:dyDescent="0.35">
      <c r="A2" s="2"/>
      <c r="B2" s="3"/>
      <c r="C2" s="3"/>
      <c r="D2" s="4" t="s">
        <v>0</v>
      </c>
      <c r="E2" s="4"/>
      <c r="F2" s="4"/>
      <c r="G2" s="5"/>
      <c r="H2" s="5"/>
      <c r="I2" s="5"/>
      <c r="J2" s="3"/>
      <c r="K2" s="7"/>
    </row>
    <row r="3" spans="1:18" ht="15.75" thickBot="1" x14ac:dyDescent="0.3">
      <c r="A3" s="6" t="s">
        <v>1</v>
      </c>
      <c r="B3" s="3" t="s">
        <v>51</v>
      </c>
      <c r="C3" s="3"/>
      <c r="D3" s="3"/>
      <c r="E3" s="3"/>
      <c r="F3" s="3"/>
      <c r="G3" s="7"/>
      <c r="H3" s="3"/>
      <c r="I3" s="2" t="s">
        <v>2</v>
      </c>
      <c r="J3" s="3" t="s">
        <v>54</v>
      </c>
      <c r="K3" s="7"/>
    </row>
    <row r="4" spans="1:18" ht="15.75" thickBot="1" x14ac:dyDescent="0.3">
      <c r="A4" s="8" t="s">
        <v>3</v>
      </c>
      <c r="B4" s="9" t="s">
        <v>52</v>
      </c>
      <c r="C4" s="9"/>
      <c r="D4" s="109" t="s">
        <v>66</v>
      </c>
      <c r="E4" s="9"/>
      <c r="F4" s="9"/>
      <c r="G4" s="10"/>
      <c r="H4" s="9"/>
      <c r="I4" s="2" t="s">
        <v>4</v>
      </c>
      <c r="J4" s="3"/>
      <c r="K4" s="11">
        <v>1</v>
      </c>
    </row>
    <row r="5" spans="1:18" ht="16.5" customHeight="1" thickBot="1" x14ac:dyDescent="0.3">
      <c r="A5" s="6" t="s">
        <v>5</v>
      </c>
      <c r="B5" s="3" t="s">
        <v>53</v>
      </c>
      <c r="C5" s="3"/>
      <c r="D5" s="3"/>
      <c r="E5" s="3"/>
      <c r="F5" s="3"/>
      <c r="G5" s="7"/>
      <c r="H5" s="3"/>
      <c r="I5" s="2"/>
      <c r="J5" s="3"/>
      <c r="K5" s="7"/>
    </row>
    <row r="6" spans="1:18" ht="15.75" thickBot="1" x14ac:dyDescent="0.3">
      <c r="A6" s="6" t="s">
        <v>6</v>
      </c>
      <c r="B6" s="3"/>
      <c r="C6" s="3"/>
      <c r="D6" s="2"/>
      <c r="E6" s="3"/>
      <c r="F6" s="12"/>
      <c r="G6" s="7"/>
      <c r="H6" s="3"/>
      <c r="I6" s="2"/>
      <c r="J6" s="3"/>
      <c r="K6" s="7"/>
    </row>
    <row r="7" spans="1:18" ht="25.5" customHeight="1" thickBot="1" x14ac:dyDescent="0.3">
      <c r="A7" s="166" t="s">
        <v>42</v>
      </c>
      <c r="B7" s="167"/>
      <c r="C7" s="168"/>
      <c r="D7" s="47" t="s">
        <v>7</v>
      </c>
      <c r="E7" s="47" t="s">
        <v>43</v>
      </c>
      <c r="F7" s="110" t="s">
        <v>44</v>
      </c>
      <c r="G7" s="47" t="s">
        <v>45</v>
      </c>
      <c r="H7" s="48" t="s">
        <v>46</v>
      </c>
      <c r="I7" s="6" t="s">
        <v>9</v>
      </c>
      <c r="J7" s="12"/>
      <c r="K7" s="13"/>
      <c r="M7" s="14"/>
      <c r="N7" s="14"/>
      <c r="O7" s="14"/>
      <c r="P7" s="14"/>
      <c r="Q7" s="14"/>
      <c r="R7" s="14"/>
    </row>
    <row r="8" spans="1:18" s="21" customFormat="1" ht="25.5" customHeight="1" x14ac:dyDescent="0.25">
      <c r="A8" s="92" t="s">
        <v>10</v>
      </c>
      <c r="B8" s="93"/>
      <c r="C8" s="54"/>
      <c r="D8" s="90"/>
      <c r="E8" s="18"/>
      <c r="F8" s="49"/>
      <c r="G8" s="50"/>
      <c r="H8" s="51"/>
      <c r="I8" s="52"/>
      <c r="J8" s="53"/>
      <c r="K8" s="54"/>
      <c r="M8" s="14"/>
      <c r="N8" s="14"/>
      <c r="O8" s="14"/>
      <c r="P8" s="14"/>
      <c r="Q8" s="14"/>
      <c r="R8" s="14"/>
    </row>
    <row r="9" spans="1:18" s="21" customFormat="1" x14ac:dyDescent="0.25">
      <c r="A9" s="64" t="s">
        <v>55</v>
      </c>
      <c r="B9" s="65"/>
      <c r="C9" s="79"/>
      <c r="D9" s="99">
        <v>3</v>
      </c>
      <c r="E9" s="66" t="s">
        <v>41</v>
      </c>
      <c r="F9" s="67">
        <v>810</v>
      </c>
      <c r="G9" s="68">
        <f>D9*F9</f>
        <v>2430</v>
      </c>
      <c r="H9" s="68"/>
      <c r="I9" s="17"/>
      <c r="J9" s="14"/>
      <c r="K9" s="20"/>
      <c r="M9" s="14"/>
      <c r="N9" s="15"/>
      <c r="O9" s="14"/>
      <c r="P9" s="15"/>
      <c r="Q9" s="16"/>
      <c r="R9" s="14"/>
    </row>
    <row r="10" spans="1:18" s="21" customFormat="1" x14ac:dyDescent="0.25">
      <c r="A10" s="64" t="s">
        <v>56</v>
      </c>
      <c r="B10" s="65"/>
      <c r="C10" s="79"/>
      <c r="D10" s="99">
        <v>3</v>
      </c>
      <c r="E10" s="66" t="s">
        <v>41</v>
      </c>
      <c r="F10" s="67">
        <v>235</v>
      </c>
      <c r="G10" s="68">
        <f t="shared" ref="G10:G14" si="0">D10*F10</f>
        <v>705</v>
      </c>
      <c r="H10" s="68"/>
      <c r="I10" s="17"/>
      <c r="J10" s="14"/>
      <c r="K10" s="20"/>
      <c r="M10" s="14"/>
      <c r="N10" s="15"/>
      <c r="O10" s="14"/>
      <c r="P10" s="15"/>
      <c r="Q10" s="16"/>
      <c r="R10" s="14"/>
    </row>
    <row r="11" spans="1:18" s="21" customFormat="1" x14ac:dyDescent="0.25">
      <c r="A11" s="64" t="s">
        <v>57</v>
      </c>
      <c r="B11" s="65"/>
      <c r="C11" s="79"/>
      <c r="D11" s="99">
        <v>48</v>
      </c>
      <c r="E11" s="66" t="s">
        <v>63</v>
      </c>
      <c r="F11" s="67">
        <v>45</v>
      </c>
      <c r="G11" s="68">
        <f t="shared" si="0"/>
        <v>2160</v>
      </c>
      <c r="H11" s="68"/>
      <c r="I11" s="17"/>
      <c r="J11" s="14"/>
      <c r="K11" s="20"/>
      <c r="M11" s="14"/>
      <c r="N11" s="15"/>
      <c r="O11" s="14"/>
      <c r="P11" s="15"/>
      <c r="Q11" s="16"/>
      <c r="R11" s="14"/>
    </row>
    <row r="12" spans="1:18" s="21" customFormat="1" x14ac:dyDescent="0.25">
      <c r="A12" s="64" t="s">
        <v>58</v>
      </c>
      <c r="B12" s="65"/>
      <c r="C12" s="79"/>
      <c r="D12" s="99">
        <v>0.15</v>
      </c>
      <c r="E12" s="66" t="s">
        <v>64</v>
      </c>
      <c r="F12" s="67">
        <v>630</v>
      </c>
      <c r="G12" s="68">
        <f t="shared" si="0"/>
        <v>94.5</v>
      </c>
      <c r="H12" s="68"/>
      <c r="I12" s="17"/>
      <c r="J12" s="14"/>
      <c r="K12" s="20"/>
      <c r="M12" s="14"/>
      <c r="N12" s="15"/>
      <c r="O12" s="14"/>
      <c r="P12" s="15"/>
      <c r="Q12" s="16"/>
      <c r="R12" s="14"/>
    </row>
    <row r="13" spans="1:18" s="21" customFormat="1" x14ac:dyDescent="0.25">
      <c r="A13" s="64" t="s">
        <v>59</v>
      </c>
      <c r="B13" s="65"/>
      <c r="C13" s="79"/>
      <c r="D13" s="99">
        <v>8</v>
      </c>
      <c r="E13" s="66" t="s">
        <v>41</v>
      </c>
      <c r="F13" s="67">
        <v>8</v>
      </c>
      <c r="G13" s="68">
        <f t="shared" si="0"/>
        <v>64</v>
      </c>
      <c r="H13" s="68"/>
      <c r="I13" s="17"/>
      <c r="J13" s="14"/>
      <c r="K13" s="20"/>
      <c r="M13" s="14"/>
      <c r="N13" s="15"/>
      <c r="O13" s="14"/>
      <c r="P13" s="15"/>
      <c r="Q13" s="16"/>
      <c r="R13" s="14"/>
    </row>
    <row r="14" spans="1:18" s="21" customFormat="1" x14ac:dyDescent="0.25">
      <c r="A14" s="64" t="s">
        <v>47</v>
      </c>
      <c r="B14" s="65"/>
      <c r="C14" s="79"/>
      <c r="D14" s="99">
        <v>1</v>
      </c>
      <c r="E14" s="66"/>
      <c r="F14" s="67">
        <f>1000*0.5</f>
        <v>500</v>
      </c>
      <c r="G14" s="68">
        <f t="shared" si="0"/>
        <v>500</v>
      </c>
      <c r="H14" s="68">
        <f>SUM(G9:G14)</f>
        <v>5953.5</v>
      </c>
      <c r="I14" s="17"/>
      <c r="J14" s="14"/>
      <c r="K14" s="20"/>
      <c r="M14" s="14"/>
      <c r="N14" s="15"/>
      <c r="O14" s="14"/>
      <c r="P14" s="15"/>
      <c r="Q14" s="16"/>
      <c r="R14" s="14"/>
    </row>
    <row r="15" spans="1:18" s="21" customFormat="1" x14ac:dyDescent="0.25">
      <c r="A15" s="111" t="s">
        <v>62</v>
      </c>
      <c r="B15" s="65"/>
      <c r="C15" s="79"/>
      <c r="D15" s="99"/>
      <c r="E15" s="66"/>
      <c r="F15" s="67"/>
      <c r="G15" s="68"/>
      <c r="H15" s="68"/>
      <c r="I15" s="17"/>
      <c r="J15" s="14"/>
      <c r="K15" s="20"/>
      <c r="M15" s="14"/>
      <c r="N15" s="15"/>
      <c r="O15" s="14"/>
      <c r="P15" s="15"/>
      <c r="Q15" s="16"/>
      <c r="R15" s="14"/>
    </row>
    <row r="16" spans="1:18" s="21" customFormat="1" x14ac:dyDescent="0.25">
      <c r="A16" s="64" t="s">
        <v>59</v>
      </c>
      <c r="B16" s="65"/>
      <c r="C16" s="79"/>
      <c r="D16" s="99">
        <f>6*0.5</f>
        <v>3</v>
      </c>
      <c r="E16" s="66" t="s">
        <v>41</v>
      </c>
      <c r="F16" s="67">
        <v>8</v>
      </c>
      <c r="G16" s="68">
        <f>D16*F16</f>
        <v>24</v>
      </c>
      <c r="H16" s="68"/>
      <c r="I16" s="17"/>
      <c r="J16" s="14"/>
      <c r="K16" s="20"/>
      <c r="M16" s="14"/>
      <c r="N16" s="15"/>
      <c r="O16" s="14"/>
      <c r="P16" s="15"/>
      <c r="Q16" s="16"/>
      <c r="R16" s="14"/>
    </row>
    <row r="17" spans="1:18" s="21" customFormat="1" x14ac:dyDescent="0.25">
      <c r="A17" s="64" t="s">
        <v>60</v>
      </c>
      <c r="B17" s="65"/>
      <c r="C17" s="79"/>
      <c r="D17" s="99">
        <f>8*0.5</f>
        <v>4</v>
      </c>
      <c r="E17" s="66" t="s">
        <v>41</v>
      </c>
      <c r="F17" s="67">
        <v>25</v>
      </c>
      <c r="G17" s="68">
        <f t="shared" ref="G17:G18" si="1">D17*F17</f>
        <v>100</v>
      </c>
      <c r="H17" s="68"/>
      <c r="I17" s="17"/>
      <c r="J17" s="14"/>
      <c r="K17" s="20"/>
      <c r="M17" s="14"/>
      <c r="N17" s="15"/>
      <c r="O17" s="14"/>
      <c r="P17" s="15"/>
      <c r="Q17" s="16"/>
      <c r="R17" s="14"/>
    </row>
    <row r="18" spans="1:18" s="21" customFormat="1" x14ac:dyDescent="0.25">
      <c r="A18" s="64" t="s">
        <v>61</v>
      </c>
      <c r="B18" s="65"/>
      <c r="C18" s="79"/>
      <c r="D18" s="99">
        <f>1*0.5</f>
        <v>0.5</v>
      </c>
      <c r="E18" s="66" t="s">
        <v>65</v>
      </c>
      <c r="F18" s="67">
        <f>1790/12</f>
        <v>149.16666666666666</v>
      </c>
      <c r="G18" s="68">
        <f t="shared" si="1"/>
        <v>74.583333333333329</v>
      </c>
      <c r="H18" s="68">
        <f>SUM(G16:G18)</f>
        <v>198.58333333333331</v>
      </c>
      <c r="I18" s="17"/>
      <c r="J18" s="14"/>
      <c r="K18" s="20"/>
      <c r="M18" s="14"/>
      <c r="N18" s="15"/>
      <c r="O18" s="14"/>
      <c r="P18" s="15"/>
      <c r="Q18" s="16"/>
      <c r="R18" s="14"/>
    </row>
    <row r="19" spans="1:18" s="25" customFormat="1" x14ac:dyDescent="0.25">
      <c r="A19" s="71" t="s">
        <v>11</v>
      </c>
      <c r="B19" s="72"/>
      <c r="C19" s="94"/>
      <c r="D19" s="91"/>
      <c r="E19" s="73"/>
      <c r="F19" s="74"/>
      <c r="G19" s="85"/>
      <c r="H19" s="60">
        <f>SUM(G9:G18)</f>
        <v>6152.083333333333</v>
      </c>
      <c r="I19" s="63"/>
      <c r="J19" s="23"/>
      <c r="K19" s="24"/>
      <c r="M19" s="23"/>
    </row>
    <row r="20" spans="1:18" s="21" customFormat="1" x14ac:dyDescent="0.25">
      <c r="A20" s="69"/>
      <c r="B20" s="65"/>
      <c r="C20" s="79"/>
      <c r="D20" s="86"/>
      <c r="E20" s="66"/>
      <c r="F20" s="70"/>
      <c r="G20" s="68"/>
      <c r="H20" s="59"/>
      <c r="I20" s="17"/>
      <c r="J20" s="14"/>
      <c r="K20" s="20"/>
      <c r="M20" s="14"/>
    </row>
    <row r="21" spans="1:18" s="21" customFormat="1" x14ac:dyDescent="0.25">
      <c r="A21" s="102" t="s">
        <v>12</v>
      </c>
      <c r="B21" s="87"/>
      <c r="C21" s="95"/>
      <c r="D21" s="86"/>
      <c r="E21" s="66"/>
      <c r="F21" s="70"/>
      <c r="G21" s="68"/>
      <c r="H21" s="68"/>
      <c r="I21" s="17"/>
      <c r="J21" s="14"/>
      <c r="K21" s="20"/>
      <c r="M21" s="14"/>
    </row>
    <row r="22" spans="1:18" s="21" customFormat="1" x14ac:dyDescent="0.25">
      <c r="A22" s="105" t="s">
        <v>13</v>
      </c>
      <c r="B22" s="89" t="s">
        <v>14</v>
      </c>
      <c r="C22" s="96" t="s">
        <v>15</v>
      </c>
      <c r="D22" s="79"/>
      <c r="E22" s="69"/>
      <c r="F22" s="66"/>
      <c r="G22" s="76"/>
      <c r="H22" s="78"/>
      <c r="I22" s="17"/>
      <c r="J22" s="14"/>
      <c r="K22" s="20"/>
      <c r="M22" s="14"/>
    </row>
    <row r="23" spans="1:18" s="21" customFormat="1" x14ac:dyDescent="0.25">
      <c r="A23" s="104" t="s">
        <v>48</v>
      </c>
      <c r="B23" s="100">
        <v>0</v>
      </c>
      <c r="C23" s="101">
        <v>10</v>
      </c>
      <c r="D23" s="86"/>
      <c r="E23" s="66"/>
      <c r="F23" s="70"/>
      <c r="G23" s="78">
        <f>C23*85</f>
        <v>850</v>
      </c>
      <c r="H23" s="68"/>
      <c r="I23" s="17"/>
      <c r="J23" s="14"/>
      <c r="K23" s="20"/>
      <c r="M23" s="14"/>
    </row>
    <row r="24" spans="1:18" s="21" customFormat="1" x14ac:dyDescent="0.25">
      <c r="A24" s="104" t="s">
        <v>49</v>
      </c>
      <c r="B24" s="100">
        <v>0</v>
      </c>
      <c r="C24" s="101">
        <v>6</v>
      </c>
      <c r="D24" s="86"/>
      <c r="E24" s="66"/>
      <c r="F24" s="70"/>
      <c r="G24" s="78">
        <f>C24*95</f>
        <v>570</v>
      </c>
      <c r="H24" s="68"/>
      <c r="I24" s="17"/>
      <c r="J24" s="14"/>
      <c r="K24" s="20"/>
      <c r="M24" s="14"/>
    </row>
    <row r="25" spans="1:18" s="21" customFormat="1" x14ac:dyDescent="0.25">
      <c r="A25" s="104"/>
      <c r="B25" s="100">
        <f>SUM(B23:B24)</f>
        <v>0</v>
      </c>
      <c r="C25" s="101">
        <f>SUM(C23:C24)</f>
        <v>16</v>
      </c>
      <c r="D25" s="86"/>
      <c r="E25" s="66"/>
      <c r="F25" s="70"/>
      <c r="G25" s="78"/>
      <c r="H25" s="68"/>
      <c r="I25" s="17"/>
      <c r="J25" s="14"/>
      <c r="K25" s="20"/>
      <c r="M25" s="14"/>
    </row>
    <row r="26" spans="1:18" s="21" customFormat="1" x14ac:dyDescent="0.25">
      <c r="A26" s="103" t="s">
        <v>16</v>
      </c>
      <c r="B26" s="88"/>
      <c r="C26" s="97"/>
      <c r="D26" s="86"/>
      <c r="E26" s="66"/>
      <c r="F26" s="70"/>
      <c r="G26" s="68">
        <f>15*C23</f>
        <v>150</v>
      </c>
      <c r="H26" s="68"/>
      <c r="I26" s="17"/>
      <c r="J26" s="14"/>
      <c r="K26" s="20"/>
      <c r="M26" s="14"/>
    </row>
    <row r="27" spans="1:18" s="21" customFormat="1" x14ac:dyDescent="0.25">
      <c r="A27" s="103" t="s">
        <v>70</v>
      </c>
      <c r="B27" s="88"/>
      <c r="C27" s="97"/>
      <c r="D27" s="86"/>
      <c r="E27" s="66"/>
      <c r="F27" s="70"/>
      <c r="G27" s="114">
        <v>800</v>
      </c>
      <c r="H27" s="68"/>
      <c r="I27" s="17"/>
      <c r="J27" s="14"/>
      <c r="K27" s="20"/>
      <c r="M27" s="14"/>
    </row>
    <row r="28" spans="1:18" s="21" customFormat="1" x14ac:dyDescent="0.25">
      <c r="A28" s="69" t="s">
        <v>17</v>
      </c>
      <c r="B28" s="65"/>
      <c r="C28" s="79"/>
      <c r="D28" s="79"/>
      <c r="E28" s="69"/>
      <c r="F28" s="66"/>
      <c r="G28" s="112">
        <v>1000</v>
      </c>
      <c r="H28" s="78"/>
      <c r="I28" s="17"/>
      <c r="J28" s="14"/>
      <c r="K28" s="20"/>
      <c r="M28" s="14"/>
    </row>
    <row r="29" spans="1:18" s="21" customFormat="1" x14ac:dyDescent="0.25">
      <c r="A29" s="69"/>
      <c r="B29" s="65"/>
      <c r="C29" s="79"/>
      <c r="D29" s="86"/>
      <c r="E29" s="66"/>
      <c r="F29" s="70"/>
      <c r="G29" s="84"/>
      <c r="H29" s="59"/>
      <c r="I29" s="17"/>
      <c r="J29" s="14"/>
      <c r="K29" s="20"/>
      <c r="M29" s="14"/>
    </row>
    <row r="30" spans="1:18" s="25" customFormat="1" x14ac:dyDescent="0.25">
      <c r="A30" s="80" t="s">
        <v>18</v>
      </c>
      <c r="B30" s="72"/>
      <c r="C30" s="94"/>
      <c r="D30" s="91"/>
      <c r="E30" s="73"/>
      <c r="F30" s="74"/>
      <c r="G30" s="83"/>
      <c r="H30" s="60">
        <f>SUM(G23:G28)</f>
        <v>3370</v>
      </c>
      <c r="I30" s="22"/>
      <c r="J30" s="23"/>
      <c r="K30" s="24"/>
      <c r="M30" s="23"/>
    </row>
    <row r="31" spans="1:18" s="21" customFormat="1" x14ac:dyDescent="0.25">
      <c r="A31" s="77"/>
      <c r="B31" s="65"/>
      <c r="C31" s="79"/>
      <c r="D31" s="86"/>
      <c r="E31" s="66"/>
      <c r="F31" s="70"/>
      <c r="G31" s="78"/>
      <c r="H31" s="59"/>
      <c r="I31" s="17"/>
      <c r="J31" s="14"/>
      <c r="K31" s="20"/>
      <c r="M31" s="14"/>
    </row>
    <row r="32" spans="1:18" s="25" customFormat="1" x14ac:dyDescent="0.25">
      <c r="A32" s="80" t="s">
        <v>19</v>
      </c>
      <c r="B32" s="72"/>
      <c r="C32" s="94"/>
      <c r="D32" s="91"/>
      <c r="E32" s="73"/>
      <c r="F32" s="74"/>
      <c r="G32" s="81"/>
      <c r="H32" s="75">
        <f>H19+H30</f>
        <v>9522.0833333333321</v>
      </c>
      <c r="I32" s="22"/>
      <c r="J32" s="23"/>
      <c r="K32" s="24"/>
      <c r="M32" s="23"/>
    </row>
    <row r="33" spans="1:13" s="21" customFormat="1" x14ac:dyDescent="0.25">
      <c r="A33" s="77"/>
      <c r="B33" s="65"/>
      <c r="C33" s="79"/>
      <c r="D33" s="86"/>
      <c r="E33" s="66"/>
      <c r="F33" s="70"/>
      <c r="G33" s="78"/>
      <c r="H33" s="68"/>
      <c r="I33" s="17"/>
      <c r="J33" s="14"/>
      <c r="K33" s="20"/>
      <c r="M33" s="14"/>
    </row>
    <row r="34" spans="1:13" s="21" customFormat="1" x14ac:dyDescent="0.25">
      <c r="A34" s="69"/>
      <c r="B34" s="65"/>
      <c r="C34" s="79"/>
      <c r="D34" s="86"/>
      <c r="E34" s="66"/>
      <c r="F34" s="70"/>
      <c r="G34" s="76"/>
      <c r="H34" s="68"/>
      <c r="I34" s="17"/>
      <c r="J34" s="14"/>
      <c r="K34" s="20"/>
      <c r="M34" s="14"/>
    </row>
    <row r="35" spans="1:13" s="21" customFormat="1" x14ac:dyDescent="0.25">
      <c r="A35" s="69" t="s">
        <v>20</v>
      </c>
      <c r="B35" s="65"/>
      <c r="C35" s="79"/>
      <c r="D35" s="79"/>
      <c r="E35" s="69"/>
      <c r="F35" s="69"/>
      <c r="G35" s="113">
        <v>-0.5</v>
      </c>
      <c r="H35" s="98">
        <f>200*C25*0.5</f>
        <v>1600</v>
      </c>
      <c r="I35" s="106">
        <f>H35/H32</f>
        <v>0.16803045552006304</v>
      </c>
      <c r="J35" s="14"/>
      <c r="K35" s="20"/>
      <c r="M35" s="14"/>
    </row>
    <row r="36" spans="1:13" s="21" customFormat="1" x14ac:dyDescent="0.25">
      <c r="A36" s="69"/>
      <c r="B36" s="65"/>
      <c r="C36" s="79"/>
      <c r="D36" s="86"/>
      <c r="E36" s="66"/>
      <c r="F36" s="70"/>
      <c r="G36" s="76"/>
      <c r="H36" s="59"/>
      <c r="I36" s="17"/>
      <c r="J36" s="14"/>
      <c r="K36" s="20"/>
      <c r="M36" s="14"/>
    </row>
    <row r="37" spans="1:13" s="21" customFormat="1" x14ac:dyDescent="0.25">
      <c r="A37" s="71" t="s">
        <v>21</v>
      </c>
      <c r="B37" s="65"/>
      <c r="C37" s="79"/>
      <c r="D37" s="86"/>
      <c r="E37" s="66"/>
      <c r="F37" s="70"/>
      <c r="G37" s="68">
        <v>0</v>
      </c>
      <c r="H37" s="60">
        <f>H32+H35</f>
        <v>11122.083333333332</v>
      </c>
      <c r="I37" s="17"/>
      <c r="J37" s="14"/>
      <c r="K37" s="20"/>
      <c r="M37" s="14"/>
    </row>
    <row r="38" spans="1:13" s="21" customFormat="1" x14ac:dyDescent="0.25">
      <c r="A38" s="69"/>
      <c r="B38" s="65"/>
      <c r="C38" s="79"/>
      <c r="D38" s="79"/>
      <c r="E38" s="69"/>
      <c r="F38" s="70"/>
      <c r="G38" s="68">
        <v>0</v>
      </c>
      <c r="H38" s="59"/>
      <c r="I38" s="17"/>
      <c r="J38" s="14"/>
      <c r="K38" s="20"/>
      <c r="M38" s="14"/>
    </row>
    <row r="39" spans="1:13" s="21" customFormat="1" x14ac:dyDescent="0.25">
      <c r="A39" s="69" t="s">
        <v>22</v>
      </c>
      <c r="B39" s="65"/>
      <c r="C39" s="79"/>
      <c r="D39" s="79"/>
      <c r="E39" s="69"/>
      <c r="F39" s="70"/>
      <c r="G39" s="78">
        <f t="shared" ref="G39" si="2">F39*D39</f>
        <v>0</v>
      </c>
      <c r="H39" s="78"/>
      <c r="I39" s="17"/>
      <c r="J39" s="14"/>
      <c r="K39" s="20"/>
      <c r="M39" s="14"/>
    </row>
    <row r="40" spans="1:13" s="21" customFormat="1" x14ac:dyDescent="0.25">
      <c r="A40" s="69" t="s">
        <v>23</v>
      </c>
      <c r="B40" s="65"/>
      <c r="C40" s="79"/>
      <c r="D40" s="79"/>
      <c r="E40" s="69"/>
      <c r="F40" s="82"/>
      <c r="G40" s="78"/>
      <c r="H40" s="78"/>
      <c r="I40" s="17"/>
      <c r="J40" s="14"/>
      <c r="K40" s="20"/>
      <c r="M40" s="14"/>
    </row>
    <row r="41" spans="1:13" s="21" customFormat="1" x14ac:dyDescent="0.25">
      <c r="A41" s="69" t="s">
        <v>24</v>
      </c>
      <c r="B41" s="65"/>
      <c r="C41" s="79"/>
      <c r="D41" s="79"/>
      <c r="E41" s="69"/>
      <c r="F41" s="66"/>
      <c r="G41" s="76"/>
      <c r="H41" s="78"/>
      <c r="I41" s="17"/>
      <c r="J41" s="14"/>
      <c r="K41" s="20"/>
      <c r="M41" s="14"/>
    </row>
    <row r="42" spans="1:13" s="21" customFormat="1" ht="15.75" thickBot="1" x14ac:dyDescent="0.3">
      <c r="A42" s="55"/>
      <c r="B42" s="56"/>
      <c r="C42" s="58"/>
      <c r="D42" s="58"/>
      <c r="E42" s="55"/>
      <c r="F42" s="57"/>
      <c r="G42" s="61"/>
      <c r="H42" s="62"/>
      <c r="I42" s="55"/>
      <c r="J42" s="56"/>
      <c r="K42" s="58"/>
      <c r="M42" s="14"/>
    </row>
    <row r="43" spans="1:13" x14ac:dyDescent="0.25">
      <c r="M43" s="14"/>
    </row>
    <row r="44" spans="1:13" x14ac:dyDescent="0.25">
      <c r="A44" t="s">
        <v>25</v>
      </c>
      <c r="C44" s="28">
        <v>0.3</v>
      </c>
      <c r="D44" s="29"/>
      <c r="E44" s="29"/>
      <c r="F44" s="28">
        <v>0.25</v>
      </c>
      <c r="G44" s="30"/>
      <c r="H44" s="28">
        <v>0.2</v>
      </c>
      <c r="I44" s="31"/>
    </row>
    <row r="45" spans="1:13" x14ac:dyDescent="0.25">
      <c r="G45" s="31"/>
      <c r="I45" s="31"/>
    </row>
    <row r="46" spans="1:13" s="27" customFormat="1" ht="15.75" thickBot="1" x14ac:dyDescent="0.3">
      <c r="A46" s="27" t="s">
        <v>26</v>
      </c>
      <c r="C46" s="32">
        <f>H37*C44+H37</f>
        <v>14458.708333333332</v>
      </c>
      <c r="F46" s="33">
        <f>H37*F44+H37</f>
        <v>13902.604166666664</v>
      </c>
      <c r="G46" s="34"/>
      <c r="H46" s="33">
        <f>H37*H44+H37</f>
        <v>13346.499999999998</v>
      </c>
      <c r="I46" s="34"/>
      <c r="M46" s="26"/>
    </row>
    <row r="47" spans="1:13" ht="15.75" thickTop="1" x14ac:dyDescent="0.25">
      <c r="C47" s="19"/>
      <c r="G47" s="31"/>
      <c r="I47" s="31"/>
    </row>
    <row r="48" spans="1:13" x14ac:dyDescent="0.25">
      <c r="A48" t="s">
        <v>27</v>
      </c>
      <c r="C48" s="19">
        <f>C46-H32</f>
        <v>4936.625</v>
      </c>
      <c r="D48" s="31">
        <f>C48/C46</f>
        <v>0.34142918483382279</v>
      </c>
      <c r="E48" s="31"/>
      <c r="F48" s="35">
        <f>F46-H32</f>
        <v>4380.5208333333321</v>
      </c>
      <c r="G48" s="45">
        <f>F48/F46</f>
        <v>0.31508635222717563</v>
      </c>
      <c r="H48" s="35">
        <f>H46-H32</f>
        <v>3824.4166666666661</v>
      </c>
      <c r="I48" s="45">
        <f>H48/H46</f>
        <v>0.28654828356997464</v>
      </c>
    </row>
    <row r="49" spans="1:13" x14ac:dyDescent="0.25">
      <c r="C49" s="19"/>
      <c r="D49" s="31"/>
      <c r="E49" s="31"/>
      <c r="G49" s="45"/>
      <c r="I49" s="45"/>
    </row>
    <row r="50" spans="1:13" x14ac:dyDescent="0.25">
      <c r="A50" t="s">
        <v>20</v>
      </c>
      <c r="C50" s="19">
        <f>-H35</f>
        <v>-1600</v>
      </c>
      <c r="D50" s="31"/>
      <c r="E50" s="31"/>
      <c r="F50" s="35">
        <f>-H35</f>
        <v>-1600</v>
      </c>
      <c r="G50" s="45"/>
      <c r="H50" s="35">
        <f>-H35</f>
        <v>-1600</v>
      </c>
      <c r="I50" s="45"/>
    </row>
    <row r="51" spans="1:13" x14ac:dyDescent="0.25">
      <c r="C51" s="19"/>
      <c r="D51" s="31"/>
      <c r="E51" s="31"/>
      <c r="G51" s="45"/>
      <c r="I51" s="45"/>
    </row>
    <row r="52" spans="1:13" s="27" customFormat="1" ht="15.75" thickBot="1" x14ac:dyDescent="0.3">
      <c r="A52" s="27" t="s">
        <v>28</v>
      </c>
      <c r="C52" s="36">
        <f>SUM(C48:C51)</f>
        <v>3336.625</v>
      </c>
      <c r="D52" s="34">
        <f>C52/C46</f>
        <v>0.23076923076923078</v>
      </c>
      <c r="E52" s="34"/>
      <c r="F52" s="37">
        <f>F48+F50</f>
        <v>2780.5208333333321</v>
      </c>
      <c r="G52" s="46">
        <f>F52/F46</f>
        <v>0.19999999999999996</v>
      </c>
      <c r="H52" s="37">
        <f>H48+H50</f>
        <v>2224.4166666666661</v>
      </c>
      <c r="I52" s="46">
        <f>H52/H46</f>
        <v>0.16666666666666666</v>
      </c>
      <c r="M52" s="26"/>
    </row>
    <row r="53" spans="1:13" ht="15.75" thickTop="1" x14ac:dyDescent="0.25">
      <c r="A53" s="25"/>
      <c r="B53" s="25"/>
      <c r="C53" s="38"/>
      <c r="D53" s="39"/>
      <c r="E53" s="39"/>
      <c r="G53" s="45"/>
      <c r="I53" s="31"/>
    </row>
    <row r="54" spans="1:13" x14ac:dyDescent="0.25">
      <c r="C54" s="40" t="s">
        <v>8</v>
      </c>
      <c r="D54" s="40"/>
      <c r="E54" s="40"/>
      <c r="F54" s="40" t="s">
        <v>8</v>
      </c>
      <c r="G54" s="31"/>
      <c r="H54" s="40" t="s">
        <v>8</v>
      </c>
      <c r="I54" s="31"/>
    </row>
    <row r="55" spans="1:13" x14ac:dyDescent="0.25">
      <c r="A55" t="s">
        <v>29</v>
      </c>
      <c r="C55" s="41">
        <f>C46*K4</f>
        <v>14458.708333333332</v>
      </c>
      <c r="D55" s="41"/>
      <c r="E55" s="41"/>
      <c r="F55" s="43">
        <f>F46*K4</f>
        <v>13902.604166666664</v>
      </c>
      <c r="G55" s="44"/>
      <c r="H55" s="43">
        <f>H46*K4</f>
        <v>13346.499999999998</v>
      </c>
      <c r="I55" s="31"/>
    </row>
    <row r="56" spans="1:13" x14ac:dyDescent="0.25">
      <c r="C56" s="42"/>
      <c r="D56" s="42"/>
      <c r="E56" s="42"/>
      <c r="F56" s="42"/>
      <c r="G56" s="44"/>
      <c r="H56" s="42"/>
      <c r="M56"/>
    </row>
    <row r="57" spans="1:13" x14ac:dyDescent="0.25">
      <c r="A57" t="s">
        <v>28</v>
      </c>
      <c r="C57" s="43">
        <f>C52*K4</f>
        <v>3336.625</v>
      </c>
      <c r="D57" s="42"/>
      <c r="E57" s="42"/>
      <c r="F57" s="43">
        <f>F52*K4</f>
        <v>2780.5208333333321</v>
      </c>
      <c r="G57" s="44"/>
      <c r="H57" s="43">
        <f>H52*K4</f>
        <v>2224.4166666666661</v>
      </c>
      <c r="M57"/>
    </row>
    <row r="58" spans="1:13" x14ac:dyDescent="0.25">
      <c r="C58" s="43"/>
      <c r="D58" s="42"/>
      <c r="E58" s="42"/>
      <c r="F58" s="42"/>
      <c r="G58" s="43"/>
      <c r="H58" s="43"/>
      <c r="M58"/>
    </row>
    <row r="59" spans="1:13" x14ac:dyDescent="0.25">
      <c r="C59" s="43"/>
      <c r="D59" s="42"/>
      <c r="E59" s="42"/>
      <c r="F59" s="42"/>
      <c r="G59" s="43"/>
      <c r="H59" s="43"/>
      <c r="M59"/>
    </row>
    <row r="60" spans="1:13" x14ac:dyDescent="0.25">
      <c r="A60" t="s">
        <v>68</v>
      </c>
      <c r="C60" s="43">
        <f>C46/48</f>
        <v>301.22309027777777</v>
      </c>
      <c r="D60" s="42"/>
      <c r="E60" s="42"/>
      <c r="F60" s="43">
        <f>F46/48</f>
        <v>289.63758680555549</v>
      </c>
      <c r="G60" s="43"/>
      <c r="H60" s="43">
        <f>H46/48</f>
        <v>278.05208333333331</v>
      </c>
      <c r="M60"/>
    </row>
    <row r="62" spans="1:13" x14ac:dyDescent="0.25">
      <c r="A62" t="s">
        <v>30</v>
      </c>
      <c r="H62" t="s">
        <v>31</v>
      </c>
    </row>
    <row r="63" spans="1:13" x14ac:dyDescent="0.25">
      <c r="A63" t="s">
        <v>32</v>
      </c>
    </row>
    <row r="64" spans="1:13" x14ac:dyDescent="0.25">
      <c r="H64" t="s">
        <v>33</v>
      </c>
    </row>
    <row r="65" spans="1:8" x14ac:dyDescent="0.25">
      <c r="A65" t="s">
        <v>34</v>
      </c>
      <c r="B65" t="s">
        <v>35</v>
      </c>
      <c r="D65" t="s">
        <v>30</v>
      </c>
      <c r="F65" t="s">
        <v>36</v>
      </c>
    </row>
    <row r="66" spans="1:8" ht="15" customHeight="1" x14ac:dyDescent="0.25">
      <c r="A66" t="s">
        <v>37</v>
      </c>
      <c r="B66" t="s">
        <v>38</v>
      </c>
      <c r="D66" s="108" t="s">
        <v>50</v>
      </c>
      <c r="F66" t="s">
        <v>39</v>
      </c>
      <c r="H66" t="s">
        <v>40</v>
      </c>
    </row>
    <row r="67" spans="1:8" x14ac:dyDescent="0.25">
      <c r="D67" s="107"/>
    </row>
  </sheetData>
  <mergeCells count="1">
    <mergeCell ref="A7:C7"/>
  </mergeCells>
  <pageMargins left="0.7" right="0.45" top="0.46" bottom="0.4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workbookViewId="0">
      <selection activeCell="A15" sqref="A15"/>
    </sheetView>
  </sheetViews>
  <sheetFormatPr defaultRowHeight="15" x14ac:dyDescent="0.25"/>
  <cols>
    <col min="1" max="1" width="15.7109375" customWidth="1"/>
    <col min="2" max="2" width="8.140625" customWidth="1"/>
    <col min="3" max="3" width="13.85546875" customWidth="1"/>
    <col min="4" max="4" width="12.140625" customWidth="1"/>
    <col min="5" max="5" width="7.7109375" customWidth="1"/>
    <col min="6" max="6" width="11.5703125" customWidth="1"/>
    <col min="7" max="8" width="11.7109375" customWidth="1"/>
    <col min="9" max="9" width="10.5703125" bestFit="1" customWidth="1"/>
    <col min="10" max="10" width="11.28515625" customWidth="1"/>
    <col min="11" max="11" width="9" customWidth="1"/>
    <col min="13" max="13" width="9.140625" style="1"/>
    <col min="15" max="15" width="11.5703125" customWidth="1"/>
    <col min="16" max="16" width="10.85546875" customWidth="1"/>
  </cols>
  <sheetData>
    <row r="1" spans="1:18" ht="15.75" thickBot="1" x14ac:dyDescent="0.3">
      <c r="K1">
        <v>1</v>
      </c>
    </row>
    <row r="2" spans="1:18" ht="16.5" thickBot="1" x14ac:dyDescent="0.35">
      <c r="A2" s="2"/>
      <c r="B2" s="3"/>
      <c r="C2" s="3"/>
      <c r="D2" s="4" t="s">
        <v>0</v>
      </c>
      <c r="E2" s="4"/>
      <c r="F2" s="4"/>
      <c r="G2" s="5"/>
      <c r="H2" s="5"/>
      <c r="I2" s="5"/>
      <c r="J2" s="3"/>
      <c r="K2" s="7"/>
    </row>
    <row r="3" spans="1:18" ht="15.75" thickBot="1" x14ac:dyDescent="0.3">
      <c r="A3" s="6" t="s">
        <v>1</v>
      </c>
      <c r="B3" s="3" t="s">
        <v>51</v>
      </c>
      <c r="C3" s="3"/>
      <c r="D3" s="3"/>
      <c r="E3" s="3"/>
      <c r="F3" s="3"/>
      <c r="G3" s="7"/>
      <c r="H3" s="3"/>
      <c r="I3" s="2" t="s">
        <v>2</v>
      </c>
      <c r="J3" s="3" t="s">
        <v>54</v>
      </c>
      <c r="K3" s="7"/>
    </row>
    <row r="4" spans="1:18" ht="15.75" thickBot="1" x14ac:dyDescent="0.3">
      <c r="A4" s="8" t="s">
        <v>3</v>
      </c>
      <c r="B4" s="9" t="s">
        <v>52</v>
      </c>
      <c r="C4" s="9"/>
      <c r="D4" s="109" t="s">
        <v>67</v>
      </c>
      <c r="E4" s="9"/>
      <c r="F4" s="9"/>
      <c r="G4" s="10"/>
      <c r="H4" s="9"/>
      <c r="I4" s="2" t="s">
        <v>4</v>
      </c>
      <c r="J4" s="3"/>
      <c r="K4" s="11">
        <v>1</v>
      </c>
    </row>
    <row r="5" spans="1:18" ht="16.5" customHeight="1" thickBot="1" x14ac:dyDescent="0.3">
      <c r="A5" s="6" t="s">
        <v>5</v>
      </c>
      <c r="B5" s="3" t="s">
        <v>53</v>
      </c>
      <c r="C5" s="3"/>
      <c r="D5" s="3"/>
      <c r="E5" s="3"/>
      <c r="F5" s="3"/>
      <c r="G5" s="7"/>
      <c r="H5" s="3"/>
      <c r="I5" s="2"/>
      <c r="J5" s="3"/>
      <c r="K5" s="7"/>
    </row>
    <row r="6" spans="1:18" ht="15.75" thickBot="1" x14ac:dyDescent="0.3">
      <c r="A6" s="6" t="s">
        <v>6</v>
      </c>
      <c r="B6" s="3"/>
      <c r="C6" s="3"/>
      <c r="D6" s="2"/>
      <c r="E6" s="3"/>
      <c r="F6" s="12"/>
      <c r="G6" s="7"/>
      <c r="H6" s="3"/>
      <c r="I6" s="2"/>
      <c r="J6" s="3"/>
      <c r="K6" s="7"/>
    </row>
    <row r="7" spans="1:18" ht="25.5" customHeight="1" thickBot="1" x14ac:dyDescent="0.3">
      <c r="A7" s="166" t="s">
        <v>42</v>
      </c>
      <c r="B7" s="167"/>
      <c r="C7" s="168"/>
      <c r="D7" s="47" t="s">
        <v>7</v>
      </c>
      <c r="E7" s="47" t="s">
        <v>43</v>
      </c>
      <c r="F7" s="110" t="s">
        <v>44</v>
      </c>
      <c r="G7" s="47" t="s">
        <v>45</v>
      </c>
      <c r="H7" s="48" t="s">
        <v>46</v>
      </c>
      <c r="I7" s="6" t="s">
        <v>9</v>
      </c>
      <c r="J7" s="12"/>
      <c r="K7" s="13"/>
      <c r="M7" s="14"/>
      <c r="N7" s="14"/>
      <c r="O7" s="14"/>
      <c r="P7" s="14"/>
      <c r="Q7" s="14"/>
      <c r="R7" s="14"/>
    </row>
    <row r="8" spans="1:18" s="21" customFormat="1" ht="25.5" customHeight="1" x14ac:dyDescent="0.25">
      <c r="A8" s="92" t="s">
        <v>10</v>
      </c>
      <c r="B8" s="93"/>
      <c r="C8" s="54"/>
      <c r="D8" s="90"/>
      <c r="E8" s="18"/>
      <c r="F8" s="49"/>
      <c r="G8" s="50"/>
      <c r="H8" s="51"/>
      <c r="I8" s="52"/>
      <c r="J8" s="53"/>
      <c r="K8" s="54"/>
      <c r="M8" s="14"/>
      <c r="N8" s="14"/>
      <c r="O8" s="14"/>
      <c r="P8" s="14"/>
      <c r="Q8" s="14"/>
      <c r="R8" s="14"/>
    </row>
    <row r="9" spans="1:18" s="21" customFormat="1" x14ac:dyDescent="0.25">
      <c r="A9" s="64" t="s">
        <v>55</v>
      </c>
      <c r="B9" s="65"/>
      <c r="C9" s="79"/>
      <c r="D9" s="99">
        <v>3</v>
      </c>
      <c r="E9" s="66" t="s">
        <v>41</v>
      </c>
      <c r="F9" s="67">
        <v>810</v>
      </c>
      <c r="G9" s="68">
        <f>D9*F9</f>
        <v>2430</v>
      </c>
      <c r="H9" s="68"/>
      <c r="I9" s="17"/>
      <c r="J9" s="14"/>
      <c r="K9" s="20"/>
      <c r="M9" s="14"/>
      <c r="N9" s="15"/>
      <c r="O9" s="14"/>
      <c r="P9" s="15"/>
      <c r="Q9" s="16"/>
      <c r="R9" s="14"/>
    </row>
    <row r="10" spans="1:18" s="21" customFormat="1" x14ac:dyDescent="0.25">
      <c r="A10" s="64" t="s">
        <v>56</v>
      </c>
      <c r="B10" s="65"/>
      <c r="C10" s="79"/>
      <c r="D10" s="99">
        <v>3</v>
      </c>
      <c r="E10" s="66" t="s">
        <v>41</v>
      </c>
      <c r="F10" s="67">
        <v>235</v>
      </c>
      <c r="G10" s="68">
        <f t="shared" ref="G10:G14" si="0">D10*F10</f>
        <v>705</v>
      </c>
      <c r="H10" s="68"/>
      <c r="I10" s="17"/>
      <c r="J10" s="14"/>
      <c r="K10" s="20"/>
      <c r="M10" s="14"/>
      <c r="N10" s="15"/>
      <c r="O10" s="14"/>
      <c r="P10" s="15"/>
      <c r="Q10" s="16"/>
      <c r="R10" s="14"/>
    </row>
    <row r="11" spans="1:18" s="21" customFormat="1" x14ac:dyDescent="0.25">
      <c r="A11" s="64" t="s">
        <v>57</v>
      </c>
      <c r="B11" s="65"/>
      <c r="C11" s="79"/>
      <c r="D11" s="99">
        <v>48</v>
      </c>
      <c r="E11" s="66" t="s">
        <v>63</v>
      </c>
      <c r="F11" s="67">
        <v>45</v>
      </c>
      <c r="G11" s="68">
        <f t="shared" si="0"/>
        <v>2160</v>
      </c>
      <c r="H11" s="68"/>
      <c r="I11" s="17"/>
      <c r="J11" s="14"/>
      <c r="K11" s="20"/>
      <c r="M11" s="14"/>
      <c r="N11" s="15"/>
      <c r="O11" s="14"/>
      <c r="P11" s="15"/>
      <c r="Q11" s="16"/>
      <c r="R11" s="14"/>
    </row>
    <row r="12" spans="1:18" s="21" customFormat="1" x14ac:dyDescent="0.25">
      <c r="A12" s="64" t="s">
        <v>58</v>
      </c>
      <c r="B12" s="65"/>
      <c r="C12" s="79"/>
      <c r="D12" s="99">
        <v>0.15</v>
      </c>
      <c r="E12" s="66" t="s">
        <v>64</v>
      </c>
      <c r="F12" s="67">
        <v>630</v>
      </c>
      <c r="G12" s="68">
        <f t="shared" si="0"/>
        <v>94.5</v>
      </c>
      <c r="H12" s="68"/>
      <c r="I12" s="17"/>
      <c r="J12" s="14"/>
      <c r="K12" s="20"/>
      <c r="M12" s="14"/>
      <c r="N12" s="15"/>
      <c r="O12" s="14"/>
      <c r="P12" s="15"/>
      <c r="Q12" s="16"/>
      <c r="R12" s="14"/>
    </row>
    <row r="13" spans="1:18" s="21" customFormat="1" x14ac:dyDescent="0.25">
      <c r="A13" s="64" t="s">
        <v>59</v>
      </c>
      <c r="B13" s="65"/>
      <c r="C13" s="79"/>
      <c r="D13" s="99">
        <v>8</v>
      </c>
      <c r="E13" s="66" t="s">
        <v>41</v>
      </c>
      <c r="F13" s="67">
        <v>8</v>
      </c>
      <c r="G13" s="68">
        <f t="shared" si="0"/>
        <v>64</v>
      </c>
      <c r="H13" s="68"/>
      <c r="I13" s="17"/>
      <c r="J13" s="14"/>
      <c r="K13" s="20"/>
      <c r="M13" s="14"/>
      <c r="N13" s="15"/>
      <c r="O13" s="14"/>
      <c r="P13" s="15"/>
      <c r="Q13" s="16"/>
      <c r="R13" s="14"/>
    </row>
    <row r="14" spans="1:18" s="21" customFormat="1" x14ac:dyDescent="0.25">
      <c r="A14" s="64" t="s">
        <v>47</v>
      </c>
      <c r="B14" s="65"/>
      <c r="C14" s="79"/>
      <c r="D14" s="99">
        <v>1</v>
      </c>
      <c r="E14" s="66"/>
      <c r="F14" s="67">
        <f>1000*0.5</f>
        <v>500</v>
      </c>
      <c r="G14" s="68">
        <f t="shared" si="0"/>
        <v>500</v>
      </c>
      <c r="H14" s="68">
        <f>SUM(G9:G14)</f>
        <v>5953.5</v>
      </c>
      <c r="I14" s="17"/>
      <c r="J14" s="14"/>
      <c r="K14" s="20"/>
      <c r="M14" s="14"/>
      <c r="N14" s="15"/>
      <c r="O14" s="14"/>
      <c r="P14" s="15"/>
      <c r="Q14" s="16"/>
      <c r="R14" s="14"/>
    </row>
    <row r="15" spans="1:18" s="21" customFormat="1" x14ac:dyDescent="0.25">
      <c r="A15" s="111" t="s">
        <v>62</v>
      </c>
      <c r="B15" s="65"/>
      <c r="C15" s="79"/>
      <c r="D15" s="99"/>
      <c r="E15" s="66"/>
      <c r="F15" s="67"/>
      <c r="G15" s="68"/>
      <c r="H15" s="68"/>
      <c r="I15" s="17"/>
      <c r="J15" s="14"/>
      <c r="K15" s="20"/>
      <c r="M15" s="14"/>
      <c r="N15" s="15"/>
      <c r="O15" s="14"/>
      <c r="P15" s="15"/>
      <c r="Q15" s="16"/>
      <c r="R15" s="14"/>
    </row>
    <row r="16" spans="1:18" s="21" customFormat="1" x14ac:dyDescent="0.25">
      <c r="A16" s="64" t="s">
        <v>59</v>
      </c>
      <c r="B16" s="65"/>
      <c r="C16" s="79"/>
      <c r="D16" s="99">
        <f>6*0.5</f>
        <v>3</v>
      </c>
      <c r="E16" s="66" t="s">
        <v>41</v>
      </c>
      <c r="F16" s="67">
        <v>8</v>
      </c>
      <c r="G16" s="68">
        <f>D16*F16</f>
        <v>24</v>
      </c>
      <c r="H16" s="68"/>
      <c r="I16" s="17"/>
      <c r="J16" s="14"/>
      <c r="K16" s="20"/>
      <c r="M16" s="14"/>
      <c r="N16" s="15"/>
      <c r="O16" s="14"/>
      <c r="P16" s="15"/>
      <c r="Q16" s="16"/>
      <c r="R16" s="14"/>
    </row>
    <row r="17" spans="1:18" s="21" customFormat="1" x14ac:dyDescent="0.25">
      <c r="A17" s="64" t="s">
        <v>60</v>
      </c>
      <c r="B17" s="65"/>
      <c r="C17" s="79"/>
      <c r="D17" s="99">
        <f>8*0.5</f>
        <v>4</v>
      </c>
      <c r="E17" s="66" t="s">
        <v>41</v>
      </c>
      <c r="F17" s="67">
        <v>25</v>
      </c>
      <c r="G17" s="68">
        <f t="shared" ref="G17:G18" si="1">D17*F17</f>
        <v>100</v>
      </c>
      <c r="H17" s="68"/>
      <c r="I17" s="17"/>
      <c r="J17" s="14"/>
      <c r="K17" s="20"/>
      <c r="M17" s="14"/>
      <c r="N17" s="15"/>
      <c r="O17" s="14"/>
      <c r="P17" s="15"/>
      <c r="Q17" s="16"/>
      <c r="R17" s="14"/>
    </row>
    <row r="18" spans="1:18" s="21" customFormat="1" x14ac:dyDescent="0.25">
      <c r="A18" s="64" t="s">
        <v>61</v>
      </c>
      <c r="B18" s="65"/>
      <c r="C18" s="79"/>
      <c r="D18" s="99">
        <f>1*0.5</f>
        <v>0.5</v>
      </c>
      <c r="E18" s="66" t="s">
        <v>65</v>
      </c>
      <c r="F18" s="67">
        <f>1790/12</f>
        <v>149.16666666666666</v>
      </c>
      <c r="G18" s="68">
        <f t="shared" si="1"/>
        <v>74.583333333333329</v>
      </c>
      <c r="H18" s="68">
        <f>SUM(G16:G18)</f>
        <v>198.58333333333331</v>
      </c>
      <c r="I18" s="17"/>
      <c r="J18" s="14"/>
      <c r="K18" s="20"/>
      <c r="M18" s="14"/>
      <c r="N18" s="15"/>
      <c r="O18" s="14"/>
      <c r="P18" s="15"/>
      <c r="Q18" s="16"/>
      <c r="R18" s="14"/>
    </row>
    <row r="19" spans="1:18" s="25" customFormat="1" x14ac:dyDescent="0.25">
      <c r="A19" s="71" t="s">
        <v>11</v>
      </c>
      <c r="B19" s="72"/>
      <c r="C19" s="94"/>
      <c r="D19" s="91"/>
      <c r="E19" s="73"/>
      <c r="F19" s="74"/>
      <c r="G19" s="85"/>
      <c r="H19" s="60">
        <f>SUM(G9:G18)</f>
        <v>6152.083333333333</v>
      </c>
      <c r="I19" s="63"/>
      <c r="J19" s="23"/>
      <c r="K19" s="24"/>
      <c r="M19" s="23"/>
    </row>
    <row r="20" spans="1:18" s="21" customFormat="1" x14ac:dyDescent="0.25">
      <c r="A20" s="69"/>
      <c r="B20" s="65"/>
      <c r="C20" s="79"/>
      <c r="D20" s="86"/>
      <c r="E20" s="66"/>
      <c r="F20" s="70"/>
      <c r="G20" s="68"/>
      <c r="H20" s="59"/>
      <c r="I20" s="17"/>
      <c r="J20" s="14"/>
      <c r="K20" s="20"/>
      <c r="M20" s="14"/>
    </row>
    <row r="21" spans="1:18" s="21" customFormat="1" x14ac:dyDescent="0.25">
      <c r="A21" s="102" t="s">
        <v>12</v>
      </c>
      <c r="B21" s="87"/>
      <c r="C21" s="95"/>
      <c r="D21" s="86"/>
      <c r="E21" s="66"/>
      <c r="F21" s="70"/>
      <c r="G21" s="68"/>
      <c r="H21" s="68"/>
      <c r="I21" s="17"/>
      <c r="J21" s="14"/>
      <c r="K21" s="20"/>
      <c r="M21" s="14"/>
    </row>
    <row r="22" spans="1:18" s="21" customFormat="1" x14ac:dyDescent="0.25">
      <c r="A22" s="105" t="s">
        <v>13</v>
      </c>
      <c r="B22" s="89" t="s">
        <v>14</v>
      </c>
      <c r="C22" s="96" t="s">
        <v>15</v>
      </c>
      <c r="D22" s="79"/>
      <c r="E22" s="69"/>
      <c r="F22" s="66"/>
      <c r="G22" s="76"/>
      <c r="H22" s="78"/>
      <c r="I22" s="17"/>
      <c r="J22" s="14"/>
      <c r="K22" s="20"/>
      <c r="M22" s="14"/>
    </row>
    <row r="23" spans="1:18" s="21" customFormat="1" x14ac:dyDescent="0.25">
      <c r="A23" s="104" t="s">
        <v>48</v>
      </c>
      <c r="B23" s="100">
        <v>0</v>
      </c>
      <c r="C23" s="101">
        <v>10</v>
      </c>
      <c r="D23" s="86"/>
      <c r="E23" s="66"/>
      <c r="F23" s="70"/>
      <c r="G23" s="78">
        <f>C23*85</f>
        <v>850</v>
      </c>
      <c r="H23" s="68"/>
      <c r="I23" s="17"/>
      <c r="J23" s="14"/>
      <c r="K23" s="20"/>
      <c r="M23" s="14"/>
    </row>
    <row r="24" spans="1:18" s="21" customFormat="1" x14ac:dyDescent="0.25">
      <c r="A24" s="104" t="s">
        <v>49</v>
      </c>
      <c r="B24" s="100">
        <v>0</v>
      </c>
      <c r="C24" s="101">
        <v>6</v>
      </c>
      <c r="D24" s="86"/>
      <c r="E24" s="66"/>
      <c r="F24" s="70"/>
      <c r="G24" s="78">
        <f>C24*95</f>
        <v>570</v>
      </c>
      <c r="H24" s="68"/>
      <c r="I24" s="17"/>
      <c r="J24" s="14"/>
      <c r="K24" s="20"/>
      <c r="M24" s="14"/>
    </row>
    <row r="25" spans="1:18" s="21" customFormat="1" x14ac:dyDescent="0.25">
      <c r="A25" s="104"/>
      <c r="B25" s="100">
        <f>SUM(B23:B24)</f>
        <v>0</v>
      </c>
      <c r="C25" s="101">
        <f>SUM(C23:C24)</f>
        <v>16</v>
      </c>
      <c r="D25" s="86"/>
      <c r="E25" s="66"/>
      <c r="F25" s="70"/>
      <c r="G25" s="78"/>
      <c r="H25" s="68"/>
      <c r="I25" s="17"/>
      <c r="J25" s="14"/>
      <c r="K25" s="20"/>
      <c r="M25" s="14"/>
    </row>
    <row r="26" spans="1:18" s="21" customFormat="1" x14ac:dyDescent="0.25">
      <c r="A26" s="103" t="s">
        <v>16</v>
      </c>
      <c r="B26" s="88"/>
      <c r="C26" s="97"/>
      <c r="D26" s="86"/>
      <c r="E26" s="66"/>
      <c r="F26" s="70"/>
      <c r="G26" s="68">
        <f>15*C23</f>
        <v>150</v>
      </c>
      <c r="H26" s="68"/>
      <c r="I26" s="17"/>
      <c r="J26" s="14"/>
      <c r="K26" s="20"/>
      <c r="M26" s="14"/>
    </row>
    <row r="27" spans="1:18" s="21" customFormat="1" x14ac:dyDescent="0.25">
      <c r="A27" s="103" t="s">
        <v>71</v>
      </c>
      <c r="B27" s="88"/>
      <c r="C27" s="97"/>
      <c r="D27" s="86"/>
      <c r="E27" s="66"/>
      <c r="F27" s="70"/>
      <c r="G27" s="114">
        <v>800</v>
      </c>
      <c r="H27" s="68"/>
      <c r="I27" s="17"/>
      <c r="J27" s="14"/>
      <c r="K27" s="20"/>
      <c r="M27" s="14"/>
    </row>
    <row r="28" spans="1:18" s="21" customFormat="1" x14ac:dyDescent="0.25">
      <c r="A28" s="69" t="s">
        <v>17</v>
      </c>
      <c r="B28" s="65"/>
      <c r="C28" s="79"/>
      <c r="D28" s="79"/>
      <c r="E28" s="69"/>
      <c r="F28" s="66"/>
      <c r="G28" s="112">
        <v>700</v>
      </c>
      <c r="H28" s="78"/>
      <c r="I28" s="17"/>
      <c r="J28" s="14"/>
      <c r="K28" s="20"/>
      <c r="M28" s="14"/>
    </row>
    <row r="29" spans="1:18" s="21" customFormat="1" x14ac:dyDescent="0.25">
      <c r="A29" s="69"/>
      <c r="B29" s="65"/>
      <c r="C29" s="79"/>
      <c r="D29" s="86"/>
      <c r="E29" s="66"/>
      <c r="F29" s="70"/>
      <c r="G29" s="84"/>
      <c r="H29" s="59"/>
      <c r="I29" s="17"/>
      <c r="J29" s="14"/>
      <c r="K29" s="20"/>
      <c r="M29" s="14"/>
    </row>
    <row r="30" spans="1:18" s="25" customFormat="1" x14ac:dyDescent="0.25">
      <c r="A30" s="80" t="s">
        <v>18</v>
      </c>
      <c r="B30" s="72"/>
      <c r="C30" s="94"/>
      <c r="D30" s="91"/>
      <c r="E30" s="73"/>
      <c r="F30" s="74"/>
      <c r="G30" s="83"/>
      <c r="H30" s="60">
        <f>SUM(G23:G28)</f>
        <v>3070</v>
      </c>
      <c r="I30" s="22"/>
      <c r="J30" s="23"/>
      <c r="K30" s="24"/>
      <c r="M30" s="23"/>
    </row>
    <row r="31" spans="1:18" s="21" customFormat="1" x14ac:dyDescent="0.25">
      <c r="A31" s="77"/>
      <c r="B31" s="65"/>
      <c r="C31" s="79"/>
      <c r="D31" s="86"/>
      <c r="E31" s="66"/>
      <c r="F31" s="70"/>
      <c r="G31" s="78"/>
      <c r="H31" s="59"/>
      <c r="I31" s="17"/>
      <c r="J31" s="14"/>
      <c r="K31" s="20"/>
      <c r="M31" s="14"/>
    </row>
    <row r="32" spans="1:18" s="25" customFormat="1" x14ac:dyDescent="0.25">
      <c r="A32" s="80" t="s">
        <v>19</v>
      </c>
      <c r="B32" s="72"/>
      <c r="C32" s="94"/>
      <c r="D32" s="91"/>
      <c r="E32" s="73"/>
      <c r="F32" s="74"/>
      <c r="G32" s="81"/>
      <c r="H32" s="75">
        <f>H19+H30</f>
        <v>9222.0833333333321</v>
      </c>
      <c r="I32" s="22"/>
      <c r="J32" s="23"/>
      <c r="K32" s="24"/>
      <c r="M32" s="23"/>
    </row>
    <row r="33" spans="1:13" s="21" customFormat="1" x14ac:dyDescent="0.25">
      <c r="A33" s="77"/>
      <c r="B33" s="65"/>
      <c r="C33" s="79"/>
      <c r="D33" s="86"/>
      <c r="E33" s="66"/>
      <c r="F33" s="70"/>
      <c r="G33" s="78"/>
      <c r="H33" s="68"/>
      <c r="I33" s="17"/>
      <c r="J33" s="14"/>
      <c r="K33" s="20"/>
      <c r="M33" s="14"/>
    </row>
    <row r="34" spans="1:13" s="21" customFormat="1" x14ac:dyDescent="0.25">
      <c r="A34" s="69"/>
      <c r="B34" s="65"/>
      <c r="C34" s="79"/>
      <c r="D34" s="86"/>
      <c r="E34" s="66"/>
      <c r="F34" s="70"/>
      <c r="G34" s="76"/>
      <c r="H34" s="68"/>
      <c r="I34" s="17"/>
      <c r="J34" s="14"/>
      <c r="K34" s="20"/>
      <c r="M34" s="14"/>
    </row>
    <row r="35" spans="1:13" s="21" customFormat="1" x14ac:dyDescent="0.25">
      <c r="A35" s="69" t="s">
        <v>20</v>
      </c>
      <c r="B35" s="65"/>
      <c r="C35" s="79"/>
      <c r="D35" s="79"/>
      <c r="E35" s="69"/>
      <c r="F35" s="69"/>
      <c r="G35" s="113">
        <v>-0.5</v>
      </c>
      <c r="H35" s="98">
        <f>200*C25*0.5</f>
        <v>1600</v>
      </c>
      <c r="I35" s="106">
        <f>H35/H32</f>
        <v>0.17349658880404828</v>
      </c>
      <c r="J35" s="14"/>
      <c r="K35" s="20"/>
      <c r="M35" s="14"/>
    </row>
    <row r="36" spans="1:13" s="21" customFormat="1" x14ac:dyDescent="0.25">
      <c r="A36" s="69"/>
      <c r="B36" s="65"/>
      <c r="C36" s="79"/>
      <c r="D36" s="86"/>
      <c r="E36" s="66"/>
      <c r="F36" s="70"/>
      <c r="G36" s="76"/>
      <c r="H36" s="59"/>
      <c r="I36" s="17"/>
      <c r="J36" s="14"/>
      <c r="K36" s="20"/>
      <c r="M36" s="14"/>
    </row>
    <row r="37" spans="1:13" s="21" customFormat="1" x14ac:dyDescent="0.25">
      <c r="A37" s="71" t="s">
        <v>21</v>
      </c>
      <c r="B37" s="65"/>
      <c r="C37" s="79"/>
      <c r="D37" s="86"/>
      <c r="E37" s="66"/>
      <c r="F37" s="70"/>
      <c r="G37" s="68">
        <v>0</v>
      </c>
      <c r="H37" s="60">
        <f>H32+H35</f>
        <v>10822.083333333332</v>
      </c>
      <c r="I37" s="17"/>
      <c r="J37" s="14"/>
      <c r="K37" s="20"/>
      <c r="M37" s="14"/>
    </row>
    <row r="38" spans="1:13" s="21" customFormat="1" x14ac:dyDescent="0.25">
      <c r="A38" s="69"/>
      <c r="B38" s="65"/>
      <c r="C38" s="79"/>
      <c r="D38" s="79"/>
      <c r="E38" s="69"/>
      <c r="F38" s="70"/>
      <c r="G38" s="68">
        <v>0</v>
      </c>
      <c r="H38" s="59"/>
      <c r="I38" s="17"/>
      <c r="J38" s="14"/>
      <c r="K38" s="20"/>
      <c r="M38" s="14"/>
    </row>
    <row r="39" spans="1:13" s="21" customFormat="1" x14ac:dyDescent="0.25">
      <c r="A39" s="69" t="s">
        <v>22</v>
      </c>
      <c r="B39" s="65"/>
      <c r="C39" s="79"/>
      <c r="D39" s="79"/>
      <c r="E39" s="69"/>
      <c r="F39" s="70"/>
      <c r="G39" s="78">
        <f t="shared" ref="G39" si="2">F39*D39</f>
        <v>0</v>
      </c>
      <c r="H39" s="78"/>
      <c r="I39" s="17"/>
      <c r="J39" s="14"/>
      <c r="K39" s="20"/>
      <c r="M39" s="14"/>
    </row>
    <row r="40" spans="1:13" s="21" customFormat="1" x14ac:dyDescent="0.25">
      <c r="A40" s="69" t="s">
        <v>23</v>
      </c>
      <c r="B40" s="65"/>
      <c r="C40" s="79"/>
      <c r="D40" s="79"/>
      <c r="E40" s="69"/>
      <c r="F40" s="82"/>
      <c r="G40" s="78"/>
      <c r="H40" s="78"/>
      <c r="I40" s="17"/>
      <c r="J40" s="14"/>
      <c r="K40" s="20"/>
      <c r="M40" s="14"/>
    </row>
    <row r="41" spans="1:13" s="21" customFormat="1" x14ac:dyDescent="0.25">
      <c r="A41" s="69" t="s">
        <v>24</v>
      </c>
      <c r="B41" s="65"/>
      <c r="C41" s="79"/>
      <c r="D41" s="79"/>
      <c r="E41" s="69"/>
      <c r="F41" s="66"/>
      <c r="G41" s="76"/>
      <c r="H41" s="78"/>
      <c r="I41" s="17"/>
      <c r="J41" s="14"/>
      <c r="K41" s="20"/>
      <c r="M41" s="14"/>
    </row>
    <row r="42" spans="1:13" s="21" customFormat="1" ht="15.75" thickBot="1" x14ac:dyDescent="0.3">
      <c r="A42" s="55"/>
      <c r="B42" s="56"/>
      <c r="C42" s="58"/>
      <c r="D42" s="58"/>
      <c r="E42" s="55"/>
      <c r="F42" s="57"/>
      <c r="G42" s="61"/>
      <c r="H42" s="62"/>
      <c r="I42" s="55"/>
      <c r="J42" s="56"/>
      <c r="K42" s="58"/>
      <c r="M42" s="14"/>
    </row>
    <row r="43" spans="1:13" x14ac:dyDescent="0.25">
      <c r="M43" s="14"/>
    </row>
    <row r="44" spans="1:13" x14ac:dyDescent="0.25">
      <c r="A44" t="s">
        <v>25</v>
      </c>
      <c r="C44" s="28">
        <v>0.3</v>
      </c>
      <c r="D44" s="29"/>
      <c r="E44" s="29"/>
      <c r="F44" s="28">
        <v>0.25</v>
      </c>
      <c r="G44" s="30"/>
      <c r="H44" s="28">
        <v>0.2</v>
      </c>
      <c r="I44" s="31"/>
    </row>
    <row r="45" spans="1:13" x14ac:dyDescent="0.25">
      <c r="G45" s="31"/>
      <c r="I45" s="31"/>
    </row>
    <row r="46" spans="1:13" s="27" customFormat="1" ht="15.75" thickBot="1" x14ac:dyDescent="0.3">
      <c r="A46" s="27" t="s">
        <v>26</v>
      </c>
      <c r="C46" s="32">
        <f>H37*C44+H37</f>
        <v>14068.708333333332</v>
      </c>
      <c r="F46" s="33">
        <f>H37*F44+H37</f>
        <v>13527.604166666664</v>
      </c>
      <c r="G46" s="34"/>
      <c r="H46" s="33">
        <f>H37*H44+H37</f>
        <v>12986.499999999998</v>
      </c>
      <c r="I46" s="34"/>
      <c r="M46" s="26"/>
    </row>
    <row r="47" spans="1:13" ht="15.75" thickTop="1" x14ac:dyDescent="0.25">
      <c r="C47" s="19"/>
      <c r="G47" s="31"/>
      <c r="I47" s="31"/>
    </row>
    <row r="48" spans="1:13" x14ac:dyDescent="0.25">
      <c r="A48" t="s">
        <v>27</v>
      </c>
      <c r="C48" s="19">
        <f>C46-H32</f>
        <v>4846.625</v>
      </c>
      <c r="D48" s="31">
        <f>C48/C46</f>
        <v>0.34449679993128962</v>
      </c>
      <c r="E48" s="31"/>
      <c r="F48" s="35">
        <f>F46-H32</f>
        <v>4305.5208333333321</v>
      </c>
      <c r="G48" s="45">
        <f>F48/F46</f>
        <v>0.31827667192854114</v>
      </c>
      <c r="H48" s="35">
        <f>H46-H32</f>
        <v>3764.4166666666661</v>
      </c>
      <c r="I48" s="45">
        <f>H48/H46</f>
        <v>0.28987153325889703</v>
      </c>
    </row>
    <row r="49" spans="1:13" x14ac:dyDescent="0.25">
      <c r="C49" s="19"/>
      <c r="D49" s="31"/>
      <c r="E49" s="31"/>
      <c r="G49" s="45"/>
      <c r="I49" s="45"/>
    </row>
    <row r="50" spans="1:13" x14ac:dyDescent="0.25">
      <c r="A50" t="s">
        <v>20</v>
      </c>
      <c r="C50" s="19">
        <f>-H35</f>
        <v>-1600</v>
      </c>
      <c r="D50" s="31"/>
      <c r="E50" s="31"/>
      <c r="F50" s="35">
        <f>-H35</f>
        <v>-1600</v>
      </c>
      <c r="G50" s="45"/>
      <c r="H50" s="35">
        <f>-H35</f>
        <v>-1600</v>
      </c>
      <c r="I50" s="45"/>
    </row>
    <row r="51" spans="1:13" x14ac:dyDescent="0.25">
      <c r="C51" s="19"/>
      <c r="D51" s="31"/>
      <c r="E51" s="31"/>
      <c r="G51" s="45"/>
      <c r="I51" s="45"/>
    </row>
    <row r="52" spans="1:13" s="27" customFormat="1" ht="15.75" thickBot="1" x14ac:dyDescent="0.3">
      <c r="A52" s="27" t="s">
        <v>28</v>
      </c>
      <c r="C52" s="36">
        <f>SUM(C48:C51)</f>
        <v>3246.625</v>
      </c>
      <c r="D52" s="34">
        <f>C52/C46</f>
        <v>0.23076923076923078</v>
      </c>
      <c r="E52" s="34"/>
      <c r="F52" s="37">
        <f>F48+F50</f>
        <v>2705.5208333333321</v>
      </c>
      <c r="G52" s="46">
        <f>F52/F46</f>
        <v>0.19999999999999996</v>
      </c>
      <c r="H52" s="37">
        <f>H48+H50</f>
        <v>2164.4166666666661</v>
      </c>
      <c r="I52" s="46">
        <f>H52/H46</f>
        <v>0.16666666666666663</v>
      </c>
      <c r="M52" s="26"/>
    </row>
    <row r="53" spans="1:13" ht="15.75" thickTop="1" x14ac:dyDescent="0.25">
      <c r="A53" s="25"/>
      <c r="B53" s="25"/>
      <c r="C53" s="38"/>
      <c r="D53" s="39"/>
      <c r="E53" s="39"/>
      <c r="G53" s="45"/>
      <c r="I53" s="31"/>
    </row>
    <row r="54" spans="1:13" x14ac:dyDescent="0.25">
      <c r="C54" s="40" t="s">
        <v>8</v>
      </c>
      <c r="D54" s="40"/>
      <c r="E54" s="40"/>
      <c r="F54" s="40" t="s">
        <v>8</v>
      </c>
      <c r="G54" s="31"/>
      <c r="H54" s="40" t="s">
        <v>8</v>
      </c>
      <c r="I54" s="31"/>
    </row>
    <row r="55" spans="1:13" x14ac:dyDescent="0.25">
      <c r="A55" t="s">
        <v>29</v>
      </c>
      <c r="C55" s="41">
        <f>C46*K4</f>
        <v>14068.708333333332</v>
      </c>
      <c r="D55" s="41"/>
      <c r="E55" s="41"/>
      <c r="F55" s="43">
        <f>F46*K4</f>
        <v>13527.604166666664</v>
      </c>
      <c r="G55" s="44"/>
      <c r="H55" s="43">
        <f>H46*K4</f>
        <v>12986.499999999998</v>
      </c>
      <c r="I55" s="31"/>
    </row>
    <row r="56" spans="1:13" x14ac:dyDescent="0.25">
      <c r="C56" s="42"/>
      <c r="D56" s="42"/>
      <c r="E56" s="42"/>
      <c r="F56" s="42"/>
      <c r="G56" s="44"/>
      <c r="H56" s="42"/>
      <c r="M56"/>
    </row>
    <row r="57" spans="1:13" x14ac:dyDescent="0.25">
      <c r="A57" t="s">
        <v>28</v>
      </c>
      <c r="C57" s="43">
        <f>C52*K4</f>
        <v>3246.625</v>
      </c>
      <c r="D57" s="42"/>
      <c r="E57" s="42"/>
      <c r="F57" s="43">
        <f>F52*K4</f>
        <v>2705.5208333333321</v>
      </c>
      <c r="G57" s="44"/>
      <c r="H57" s="43">
        <f>H52*K4</f>
        <v>2164.4166666666661</v>
      </c>
      <c r="M57"/>
    </row>
    <row r="58" spans="1:13" x14ac:dyDescent="0.25">
      <c r="C58" s="43"/>
      <c r="D58" s="42"/>
      <c r="E58" s="42"/>
      <c r="F58" s="42"/>
      <c r="G58" s="43"/>
      <c r="H58" s="43"/>
      <c r="M58"/>
    </row>
    <row r="59" spans="1:13" x14ac:dyDescent="0.25">
      <c r="C59" s="43"/>
      <c r="D59" s="42"/>
      <c r="E59" s="42"/>
      <c r="F59" s="42"/>
      <c r="G59" s="43"/>
      <c r="H59" s="43"/>
      <c r="M59"/>
    </row>
    <row r="60" spans="1:13" x14ac:dyDescent="0.25">
      <c r="A60" t="s">
        <v>68</v>
      </c>
      <c r="C60" s="43">
        <f>C46/48</f>
        <v>293.09809027777777</v>
      </c>
      <c r="D60" s="42"/>
      <c r="E60" s="42"/>
      <c r="F60" s="43">
        <f>F46/48</f>
        <v>281.82508680555549</v>
      </c>
      <c r="G60" s="43"/>
      <c r="H60" s="43">
        <f>H46/48</f>
        <v>270.55208333333331</v>
      </c>
      <c r="M60"/>
    </row>
    <row r="62" spans="1:13" x14ac:dyDescent="0.25">
      <c r="A62" t="s">
        <v>30</v>
      </c>
      <c r="H62" t="s">
        <v>31</v>
      </c>
    </row>
    <row r="63" spans="1:13" x14ac:dyDescent="0.25">
      <c r="A63" t="s">
        <v>32</v>
      </c>
    </row>
    <row r="64" spans="1:13" x14ac:dyDescent="0.25">
      <c r="H64" t="s">
        <v>33</v>
      </c>
    </row>
    <row r="65" spans="1:8" x14ac:dyDescent="0.25">
      <c r="A65" t="s">
        <v>34</v>
      </c>
      <c r="B65" t="s">
        <v>35</v>
      </c>
      <c r="D65" t="s">
        <v>30</v>
      </c>
      <c r="F65" t="s">
        <v>36</v>
      </c>
    </row>
    <row r="66" spans="1:8" ht="15" customHeight="1" x14ac:dyDescent="0.25">
      <c r="A66" t="s">
        <v>37</v>
      </c>
      <c r="B66" t="s">
        <v>38</v>
      </c>
      <c r="D66" s="108" t="s">
        <v>50</v>
      </c>
      <c r="F66" t="s">
        <v>39</v>
      </c>
      <c r="H66" t="s">
        <v>40</v>
      </c>
    </row>
    <row r="67" spans="1:8" x14ac:dyDescent="0.25">
      <c r="D67" s="107"/>
    </row>
  </sheetData>
  <mergeCells count="1">
    <mergeCell ref="A7:C7"/>
  </mergeCells>
  <pageMargins left="0.7" right="0.45" top="0.46" bottom="0.4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47X1.5 Aluminium Strip</vt:lpstr>
      <vt:lpstr>Communication BOX Non Lighted</vt:lpstr>
      <vt:lpstr>North Central</vt:lpstr>
      <vt:lpstr>Southern Province</vt:lpstr>
      <vt:lpstr>'47X1.5 Aluminium Strip'!Print_Area</vt:lpstr>
      <vt:lpstr>'Communication BOX Non Lighted'!Print_Area</vt:lpstr>
      <vt:lpstr>'North Central'!Print_Area</vt:lpstr>
      <vt:lpstr>'Southern Province'!Print_Area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Dhammika</dc:creator>
  <cp:lastModifiedBy>Prasad Dammika</cp:lastModifiedBy>
  <cp:lastPrinted>2018-05-18T09:11:47Z</cp:lastPrinted>
  <dcterms:created xsi:type="dcterms:W3CDTF">2013-02-07T11:10:30Z</dcterms:created>
  <dcterms:modified xsi:type="dcterms:W3CDTF">2019-03-18T10:51:02Z</dcterms:modified>
</cp:coreProperties>
</file>